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GIL Division Academia - Programas\Gerencia de Contabilidad Financiera\Operacion 5 - Analisis y Plan Financiero\"/>
    </mc:Choice>
  </mc:AlternateContent>
  <xr:revisionPtr revIDLastSave="0" documentId="13_ncr:1_{F6A81244-D7A7-4230-A3EA-4BD13FA4F2F9}" xr6:coauthVersionLast="47" xr6:coauthVersionMax="47" xr10:uidLastSave="{00000000-0000-0000-0000-000000000000}"/>
  <bookViews>
    <workbookView xWindow="-108" yWindow="-108" windowWidth="23256" windowHeight="13176" tabRatio="778" xr2:uid="{F4C4EE21-06BC-4A1B-A40E-9DCB3A6A9E4D}"/>
  </bookViews>
  <sheets>
    <sheet name="Estructura" sheetId="1" r:id="rId1"/>
    <sheet name="Inversionista" sheetId="7" r:id="rId2"/>
    <sheet name="Flujo Operativo" sheetId="4" r:id="rId3"/>
    <sheet name="Parámetros" sheetId="2" r:id="rId4"/>
    <sheet name="Programación del préstam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2">Tabla36</definedName>
    <definedName name="A" localSheetId="1">Tabla36</definedName>
    <definedName name="A" localSheetId="4">Tabla36</definedName>
    <definedName name="A">Tabla36</definedName>
    <definedName name="ACCIDENTE" localSheetId="2">#REF!</definedName>
    <definedName name="ACCIDENTE" localSheetId="1">#REF!</definedName>
    <definedName name="ACCIDENTE" localSheetId="4">#REF!</definedName>
    <definedName name="ACCIDENTE">#REF!</definedName>
    <definedName name="AmortizaciónInterés">-IPMT(TasaInterés/12,NúmeroDePago,NúmeroDePagos,CantidadPréstamo)</definedName>
    <definedName name="Aniversarios">'[1]Feriados y fechas importantes'!$E$8:$E$50</definedName>
    <definedName name="AñosPréstamo">'Programación del préstamo'!#REF!</definedName>
    <definedName name="Cambios" localSheetId="2">#REF!</definedName>
    <definedName name="Cambios" localSheetId="1">#REF!</definedName>
    <definedName name="Cambios" localSheetId="4">#REF!</definedName>
    <definedName name="Cambios">#REF!</definedName>
    <definedName name="CantidadPréstamo">'Programación del préstamo'!#REF!</definedName>
    <definedName name="CBH" localSheetId="2">#REF!</definedName>
    <definedName name="CBH" localSheetId="1">#REF!</definedName>
    <definedName name="CBH" localSheetId="4">#REF!</definedName>
    <definedName name="CBH">#REF!</definedName>
    <definedName name="COD_Condicion">[2]Suplementos!$H$5:$H$10</definedName>
    <definedName name="COD_Consitencia">[2]Suplementos!$J$5:$J$10</definedName>
    <definedName name="COD_Esfuerzo">[2]Suplementos!$D$5:$D$15</definedName>
    <definedName name="COD_Habilidad">[2]Suplementos!$B$5:$B$15</definedName>
    <definedName name="COD_S_CALOR">[2]Suplementos!$N$26:$N$35</definedName>
    <definedName name="COD_S_CONCENTRACION">[2]Suplementos!$N$36:$N$38</definedName>
    <definedName name="COD_S_ILUMINACION">[2]Suplementos!$N$23:$N$25</definedName>
    <definedName name="COD_S_MONOTONIA">[2]Suplementos!$N$46:$N$48</definedName>
    <definedName name="COD_S_PESO">[2]Suplementos!$N$11:$N$22</definedName>
    <definedName name="COD_S_POSTURA">[2]Suplementos!$N$8:$N$10</definedName>
    <definedName name="COD_S_RUIDO">[2]Suplementos!$N$39:$N$42</definedName>
    <definedName name="COD_S_TEDIO">[2]Suplementos!$N$49:$N$51</definedName>
    <definedName name="COD_S_TENSION">[2]Suplementos!$N$43:$N$45</definedName>
    <definedName name="CódigoTIP.CTE.">'[3]Generalidades de Información'!$B$7:$B$29</definedName>
    <definedName name="ColumnTitle1" localSheetId="1">[4]!ProgramaciónPago[[#Headers],[Nº. DE PAGO]]</definedName>
    <definedName name="ColumnTitle1">#REF!</definedName>
    <definedName name="Córdobas" localSheetId="2">#REF!</definedName>
    <definedName name="Córdobas" localSheetId="1">#REF!</definedName>
    <definedName name="Córdobas" localSheetId="4">#REF!</definedName>
    <definedName name="Córdobas">#REF!</definedName>
    <definedName name="CosteTotalPréstamo">'Programación del préstamo'!#REF!</definedName>
    <definedName name="Elaborado" localSheetId="2">#REF!</definedName>
    <definedName name="Elaborado" localSheetId="1">#REF!</definedName>
    <definedName name="Elaborado" localSheetId="4">#REF!</definedName>
    <definedName name="Elaborado">#REF!</definedName>
    <definedName name="End_Bal">[4]!ProgramaciónPago[SALDO FINAL]</definedName>
    <definedName name="ExtraPayments">'[4]Programación del préstamo'!$E$9</definedName>
    <definedName name="FechaDePago">DATE(YEAR(FechaInicioPréstamo),MONTH(FechaInicioPréstamo)+NúmeroDePago,DAY(FechaInicioPréstamo))</definedName>
    <definedName name="FechaInicioPréstamo">'Programación del préstamo'!#REF!</definedName>
    <definedName name="Feriados">'[1]Feriados y fechas importantes'!$B$8:$B$50</definedName>
    <definedName name="FilaEncabezados">ROW('[5]Calculadora de préstamos'!$8:$8)</definedName>
    <definedName name="hoal" localSheetId="2">#REF!</definedName>
    <definedName name="hoal" localSheetId="1">#REF!</definedName>
    <definedName name="hoal" localSheetId="4">#REF!</definedName>
    <definedName name="hoal">#REF!</definedName>
    <definedName name="ImporteDelPréstamo">'[4]Programación del préstamo'!$E$3</definedName>
    <definedName name="ImporteTotalDePagosAnticipados" localSheetId="2">SUM([4]!ProgramaciónPago[PAGO EXTRA])</definedName>
    <definedName name="ImporteTotalDePagosAnticipados" localSheetId="1">SUM([4]!ProgramaciónPago[PAGO EXTRA])</definedName>
    <definedName name="ImporteTotalDePagosAnticipados" localSheetId="4">SUM(#REF!)</definedName>
    <definedName name="ImporteTotalDePagosAnticipados">SUM([4]!ProgramaciónPago[PAGO EXTRA])</definedName>
    <definedName name="InterestRate">'[4]Programación del préstamo'!$E$4</definedName>
    <definedName name="KILOADICIONAL">[6]CAT!$K$2:$K$20</definedName>
    <definedName name="LastRow" localSheetId="1">MATCH(9.99E+307,'[4]Programación del préstamo'!$B:$B)</definedName>
    <definedName name="LastRow">MATCH(9.99E+307,'Programación del préstamo'!#REF!)</definedName>
    <definedName name="LenderName">'Programación del préstamo'!#REF!</definedName>
    <definedName name="LoanIsGood">('[4]Programación del préstamo'!$E$3*'[4]Programación del préstamo'!$E$4*'[4]Programación del préstamo'!$E$5*'[4]Programación del préstamo'!$E$7)&gt;0</definedName>
    <definedName name="LoanPeriod">'[4]Programación del préstamo'!$E$5</definedName>
    <definedName name="LoanStartDate">'[4]Programación del préstamo'!$E$7</definedName>
    <definedName name="no" localSheetId="2">#REF!</definedName>
    <definedName name="no" localSheetId="1">#REF!</definedName>
    <definedName name="no" localSheetId="4">#REF!</definedName>
    <definedName name="no">#REF!</definedName>
    <definedName name="NúmeroDePago">ROW()-FilaEncabezados</definedName>
    <definedName name="NúmeroDePagos">'[5]Calculadora de préstamos'!$H$4</definedName>
    <definedName name="NúmeroDePagosProgramados">'[4]Programación del préstamo'!$I$4</definedName>
    <definedName name="NúmeroRealDePagos" localSheetId="2">IFERROR(IF(LoanIsGood,IF(PaymentsPerYear=1,1,MATCH(0.01,End_Bal,-1)+1)),"")</definedName>
    <definedName name="NúmeroRealDePagos" localSheetId="1">IFERROR(IF(LoanIsGood,IF(PaymentsPerYear=1,1,MATCH(0.01,End_Bal,-1)+1)),"")</definedName>
    <definedName name="NúmeroRealDePagos" localSheetId="4">IFERROR(IF(LoanIsGood,IF(PaymentsPerYear=1,1,MATCH(0.01,End_Bal,-1)+1)),"")</definedName>
    <definedName name="NúmeroRealDePagos">IFERROR(IF(LoanIsGood,IF(PaymentsPerYear=1,1,MATCH(0.01,End_Bal,-1)+1)),"")</definedName>
    <definedName name="PagoMensual">-PMT(TasaInterés/12,NúmeroDePagos,CantidadPréstamo)</definedName>
    <definedName name="PagoProgramado">'[4]Programación del préstamo'!$I$3</definedName>
    <definedName name="PaymentsPerYear">'[4]Programación del préstamo'!$E$6</definedName>
    <definedName name="PESO">[6]CAT!$H$2:$H$20</definedName>
    <definedName name="PréstamoNoPagado">IF(NúmeroDePago&lt;=NúmeroDePagos,1,0)</definedName>
    <definedName name="PréstamoPagado">IF(CantidadPréstamo*TasaInterés*AñosPréstamo*FechaInicioPréstamo&gt;0,1,0)</definedName>
    <definedName name="Principal">-PPMT(TasaInterés/12,NúmeroDePago,NúmeroDePagos,CantidadPréstamo)</definedName>
    <definedName name="PrintArea_SET" localSheetId="2">OFFSET('[4]Programación del préstamo'!$B$1,,,LastRow,ÚltimaColumna)</definedName>
    <definedName name="PrintArea_SET" localSheetId="1">OFFSET('[4]Programación del préstamo'!$B$1,,,Inversionista!LastRow,Inversionista!ÚltimaColumna)</definedName>
    <definedName name="PrintArea_SET" localSheetId="4">OFFSET('Programación del préstamo'!#REF!,,,LastRow,ÚltimaColumna)</definedName>
    <definedName name="PrintArea_SET">OFFSET('[4]Programación del préstamo'!$B$1,,,LastRow,ÚltimaColumna)</definedName>
    <definedName name="RowTitleRegion1..E9">'Programación del préstamo'!#REF!</definedName>
    <definedName name="RowTitleRegion2..I7">'Programación del préstamo'!#REF!</definedName>
    <definedName name="RowTitleRegion3..E9">'Programación del préstamo'!#REF!</definedName>
    <definedName name="RowTitleRegion4..H9">'Programación del préstamo'!#REF!</definedName>
    <definedName name="RUTA">[6]CAT!$G$2:$G$20</definedName>
    <definedName name="SaldoFinal">-FV(TasaInterés/12,NúmeroDePago,-PagoMensual,CantidadPréstamo)</definedName>
    <definedName name="TasaInterés">'Programación del préstamo'!#REF!</definedName>
    <definedName name="TCondion">[2]Suplementos!$H$5:$I$10</definedName>
    <definedName name="TConsistencia">[2]Suplementos!$J$5:$K$10</definedName>
    <definedName name="TEsfuerzo">[2]Suplementos!$D$5:$E$15</definedName>
    <definedName name="THabilidad">[2]Suplementos!$B$5:$C$15</definedName>
    <definedName name="TipoClientes">'[3]Generalidades de Información'!$B$7:$B$29</definedName>
    <definedName name="_xlnm.Print_Titles" localSheetId="4">'Programación del préstamo'!#REF!</definedName>
    <definedName name="TotalDeIntereses">SUM([4]!ProgramaciónPago[INTERÉS])</definedName>
    <definedName name="TSuplementos">[2]Suplementos!$N$5:$Q$51</definedName>
    <definedName name="ÚltimaColumna" localSheetId="1">MATCH(REPT("z",255),'[4]Programación del préstamo'!$11:$11)</definedName>
    <definedName name="ÚltimaColumna">MATCH(REPT("z",255),'Programación del préstamo'!#REF!)</definedName>
    <definedName name="ÚltimaFila">MATCH(9.99E+307,'[5]Calculadora de préstamos'!$B:$B)</definedName>
    <definedName name="ValorPréstamo">-FV(TasaInterés/12,NúmeroDePago-1,-PagoMensual,CantidadPréstamo)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9" i="4" l="1"/>
  <c r="FG380" i="2"/>
  <c r="FH380" i="2" s="1"/>
  <c r="FI380" i="2" s="1"/>
  <c r="FJ380" i="2" s="1"/>
  <c r="FK380" i="2" s="1"/>
  <c r="FL380" i="2" s="1"/>
  <c r="FM380" i="2" s="1"/>
  <c r="FN380" i="2" s="1"/>
  <c r="FO380" i="2" s="1"/>
  <c r="FP380" i="2" s="1"/>
  <c r="FQ380" i="2" s="1"/>
  <c r="FQ375" i="2"/>
  <c r="FP375" i="2"/>
  <c r="FO375" i="2"/>
  <c r="FN375" i="2"/>
  <c r="FM375" i="2"/>
  <c r="FL375" i="2"/>
  <c r="FK375" i="2"/>
  <c r="FJ375" i="2"/>
  <c r="FI375" i="2"/>
  <c r="FH375" i="2"/>
  <c r="FG375" i="2"/>
  <c r="FF375" i="2"/>
  <c r="FQ350" i="2"/>
  <c r="FP350" i="2"/>
  <c r="FO350" i="2"/>
  <c r="FN350" i="2"/>
  <c r="FM350" i="2"/>
  <c r="FL350" i="2"/>
  <c r="FK350" i="2"/>
  <c r="FJ350" i="2"/>
  <c r="FI350" i="2"/>
  <c r="FH350" i="2"/>
  <c r="FG350" i="2"/>
  <c r="FF350" i="2"/>
  <c r="FR350" i="2" s="1"/>
  <c r="FE350" i="2"/>
  <c r="FE349" i="2"/>
  <c r="FE348" i="2"/>
  <c r="FQ347" i="2"/>
  <c r="FP347" i="2"/>
  <c r="FO347" i="2"/>
  <c r="FN347" i="2"/>
  <c r="FM347" i="2"/>
  <c r="FL347" i="2"/>
  <c r="FK347" i="2"/>
  <c r="FJ347" i="2"/>
  <c r="FI347" i="2"/>
  <c r="FH347" i="2"/>
  <c r="FG347" i="2"/>
  <c r="FF347" i="2"/>
  <c r="FE347" i="2"/>
  <c r="FQ346" i="2"/>
  <c r="FP346" i="2"/>
  <c r="FO346" i="2"/>
  <c r="FN346" i="2"/>
  <c r="FM346" i="2"/>
  <c r="FL346" i="2"/>
  <c r="FK346" i="2"/>
  <c r="FJ346" i="2"/>
  <c r="FI346" i="2"/>
  <c r="FH346" i="2"/>
  <c r="FG346" i="2"/>
  <c r="FF346" i="2"/>
  <c r="FR346" i="2" s="1"/>
  <c r="FE346" i="2"/>
  <c r="FQ345" i="2"/>
  <c r="FP345" i="2"/>
  <c r="FO345" i="2"/>
  <c r="FN345" i="2"/>
  <c r="FM345" i="2"/>
  <c r="FL345" i="2"/>
  <c r="FK345" i="2"/>
  <c r="FJ345" i="2"/>
  <c r="FI345" i="2"/>
  <c r="FH345" i="2"/>
  <c r="FG345" i="2"/>
  <c r="FF345" i="2"/>
  <c r="FE345" i="2"/>
  <c r="FQ344" i="2"/>
  <c r="FP344" i="2"/>
  <c r="FO344" i="2"/>
  <c r="FN344" i="2"/>
  <c r="FM344" i="2"/>
  <c r="FL344" i="2"/>
  <c r="FK344" i="2"/>
  <c r="FJ344" i="2"/>
  <c r="FI344" i="2"/>
  <c r="FH344" i="2"/>
  <c r="FG344" i="2"/>
  <c r="FF344" i="2"/>
  <c r="FR344" i="2" s="1"/>
  <c r="FE344" i="2"/>
  <c r="FE343" i="2"/>
  <c r="FR338" i="2"/>
  <c r="FQ337" i="2"/>
  <c r="FP337" i="2"/>
  <c r="FO337" i="2"/>
  <c r="FN337" i="2"/>
  <c r="FM337" i="2"/>
  <c r="FL337" i="2"/>
  <c r="FK337" i="2"/>
  <c r="FJ337" i="2"/>
  <c r="FI337" i="2"/>
  <c r="FH337" i="2"/>
  <c r="FG337" i="2"/>
  <c r="FF337" i="2"/>
  <c r="FR337" i="2" s="1"/>
  <c r="FR336" i="2"/>
  <c r="FR334" i="2"/>
  <c r="FR332" i="2"/>
  <c r="FR330" i="2"/>
  <c r="FR329" i="2"/>
  <c r="FE329" i="2"/>
  <c r="FR328" i="2"/>
  <c r="FE328" i="2"/>
  <c r="FR327" i="2"/>
  <c r="FE327" i="2"/>
  <c r="FR326" i="2"/>
  <c r="FE326" i="2"/>
  <c r="FR325" i="2"/>
  <c r="FE325" i="2"/>
  <c r="FR324" i="2"/>
  <c r="FE324" i="2"/>
  <c r="FR323" i="2"/>
  <c r="FE323" i="2"/>
  <c r="FQ322" i="2"/>
  <c r="FP322" i="2"/>
  <c r="FO322" i="2"/>
  <c r="FN322" i="2"/>
  <c r="FM322" i="2"/>
  <c r="FL322" i="2"/>
  <c r="FK322" i="2"/>
  <c r="FJ322" i="2"/>
  <c r="FI322" i="2"/>
  <c r="FH322" i="2"/>
  <c r="FG322" i="2"/>
  <c r="FF322" i="2"/>
  <c r="FR322" i="2" s="1"/>
  <c r="FR321" i="2"/>
  <c r="FE321" i="2"/>
  <c r="FR320" i="2"/>
  <c r="FE320" i="2"/>
  <c r="FQ319" i="2"/>
  <c r="FP319" i="2"/>
  <c r="FO319" i="2"/>
  <c r="FN319" i="2"/>
  <c r="FM319" i="2"/>
  <c r="FL319" i="2"/>
  <c r="FK319" i="2"/>
  <c r="FJ319" i="2"/>
  <c r="FI319" i="2"/>
  <c r="FH319" i="2"/>
  <c r="FG319" i="2"/>
  <c r="FF319" i="2"/>
  <c r="FR319" i="2" s="1"/>
  <c r="FR318" i="2"/>
  <c r="FE318" i="2"/>
  <c r="FR317" i="2"/>
  <c r="FE317" i="2"/>
  <c r="FR316" i="2"/>
  <c r="FE316" i="2"/>
  <c r="FR315" i="2"/>
  <c r="FE315" i="2"/>
  <c r="FR314" i="2"/>
  <c r="FE314" i="2"/>
  <c r="FQ313" i="2"/>
  <c r="FP313" i="2"/>
  <c r="FO313" i="2"/>
  <c r="FN313" i="2"/>
  <c r="FM313" i="2"/>
  <c r="FL313" i="2"/>
  <c r="FK313" i="2"/>
  <c r="FJ313" i="2"/>
  <c r="FI313" i="2"/>
  <c r="FH313" i="2"/>
  <c r="FG313" i="2"/>
  <c r="FF313" i="2"/>
  <c r="FR312" i="2"/>
  <c r="FE312" i="2"/>
  <c r="FR311" i="2"/>
  <c r="FE311" i="2"/>
  <c r="FE310" i="2"/>
  <c r="FE309" i="2"/>
  <c r="FR308" i="2"/>
  <c r="FE308" i="2"/>
  <c r="FR307" i="2"/>
  <c r="FE307" i="2"/>
  <c r="FR306" i="2"/>
  <c r="FE306" i="2"/>
  <c r="FE305" i="2"/>
  <c r="FR304" i="2"/>
  <c r="FE304" i="2"/>
  <c r="FR303" i="2"/>
  <c r="FE303" i="2"/>
  <c r="FE302" i="2"/>
  <c r="FR300" i="2"/>
  <c r="FE300" i="2"/>
  <c r="FR299" i="2"/>
  <c r="FE299" i="2"/>
  <c r="FR298" i="2"/>
  <c r="FE298" i="2"/>
  <c r="FR297" i="2"/>
  <c r="FE297" i="2"/>
  <c r="FR296" i="2"/>
  <c r="FE296" i="2"/>
  <c r="FR295" i="2"/>
  <c r="FE295" i="2"/>
  <c r="FR294" i="2"/>
  <c r="FE294" i="2"/>
  <c r="FR293" i="2"/>
  <c r="FE293" i="2"/>
  <c r="FR292" i="2"/>
  <c r="FE292" i="2"/>
  <c r="FR291" i="2"/>
  <c r="FE291" i="2"/>
  <c r="FR290" i="2"/>
  <c r="FE290" i="2"/>
  <c r="FR289" i="2"/>
  <c r="FE289" i="2"/>
  <c r="FR288" i="2"/>
  <c r="FE288" i="2"/>
  <c r="FR287" i="2"/>
  <c r="FE287" i="2"/>
  <c r="FQ286" i="2"/>
  <c r="FP286" i="2"/>
  <c r="FO286" i="2"/>
  <c r="FN286" i="2"/>
  <c r="FM286" i="2"/>
  <c r="FL286" i="2"/>
  <c r="FK286" i="2"/>
  <c r="FJ286" i="2"/>
  <c r="FI286" i="2"/>
  <c r="FH286" i="2"/>
  <c r="FG286" i="2"/>
  <c r="FF286" i="2"/>
  <c r="FR285" i="2"/>
  <c r="FE285" i="2"/>
  <c r="FR284" i="2"/>
  <c r="FE284" i="2"/>
  <c r="FR283" i="2"/>
  <c r="FE283" i="2"/>
  <c r="FR282" i="2"/>
  <c r="FE282" i="2"/>
  <c r="FE281" i="2"/>
  <c r="FR280" i="2"/>
  <c r="FE280" i="2"/>
  <c r="FR279" i="2"/>
  <c r="FE279" i="2"/>
  <c r="FR278" i="2"/>
  <c r="FE278" i="2"/>
  <c r="FR277" i="2"/>
  <c r="FE277" i="2"/>
  <c r="FR276" i="2"/>
  <c r="FE276" i="2"/>
  <c r="FR274" i="2"/>
  <c r="FE274" i="2"/>
  <c r="FQ273" i="2"/>
  <c r="FP273" i="2"/>
  <c r="FO273" i="2"/>
  <c r="FN273" i="2"/>
  <c r="FM273" i="2"/>
  <c r="FL273" i="2"/>
  <c r="FK273" i="2"/>
  <c r="FJ273" i="2"/>
  <c r="FI273" i="2"/>
  <c r="FH273" i="2"/>
  <c r="FG273" i="2"/>
  <c r="FF273" i="2"/>
  <c r="FR273" i="2" s="1"/>
  <c r="FR272" i="2"/>
  <c r="FE272" i="2"/>
  <c r="FR271" i="2"/>
  <c r="FE271" i="2"/>
  <c r="FR270" i="2"/>
  <c r="FE270" i="2"/>
  <c r="FR269" i="2"/>
  <c r="FE269" i="2"/>
  <c r="FR268" i="2"/>
  <c r="FE268" i="2"/>
  <c r="FQ267" i="2"/>
  <c r="FP267" i="2"/>
  <c r="FO267" i="2"/>
  <c r="FN267" i="2"/>
  <c r="FM267" i="2"/>
  <c r="FL267" i="2"/>
  <c r="FK267" i="2"/>
  <c r="FJ267" i="2"/>
  <c r="FI267" i="2"/>
  <c r="FH267" i="2"/>
  <c r="FG267" i="2"/>
  <c r="FF267" i="2"/>
  <c r="FR266" i="2"/>
  <c r="FE266" i="2"/>
  <c r="FR265" i="2"/>
  <c r="FE265" i="2"/>
  <c r="FR264" i="2"/>
  <c r="FE264" i="2"/>
  <c r="FR263" i="2"/>
  <c r="FE263" i="2"/>
  <c r="FR262" i="2"/>
  <c r="FE262" i="2"/>
  <c r="FR261" i="2"/>
  <c r="FE261" i="2"/>
  <c r="FR260" i="2"/>
  <c r="FE260" i="2"/>
  <c r="FQ259" i="2"/>
  <c r="FP259" i="2"/>
  <c r="FO259" i="2"/>
  <c r="FN259" i="2"/>
  <c r="FM259" i="2"/>
  <c r="FL259" i="2"/>
  <c r="FK259" i="2"/>
  <c r="FJ259" i="2"/>
  <c r="FI259" i="2"/>
  <c r="FH259" i="2"/>
  <c r="FG259" i="2"/>
  <c r="FF259" i="2"/>
  <c r="FR259" i="2" s="1"/>
  <c r="FR258" i="2"/>
  <c r="FE258" i="2"/>
  <c r="FE257" i="2"/>
  <c r="FR256" i="2"/>
  <c r="FE256" i="2"/>
  <c r="FR254" i="2"/>
  <c r="FE254" i="2"/>
  <c r="FR253" i="2"/>
  <c r="FE253" i="2"/>
  <c r="FR252" i="2"/>
  <c r="FE252" i="2"/>
  <c r="FR251" i="2"/>
  <c r="FE251" i="2"/>
  <c r="FR250" i="2"/>
  <c r="FE250" i="2"/>
  <c r="FR249" i="2"/>
  <c r="FE249" i="2"/>
  <c r="FR248" i="2"/>
  <c r="FE248" i="2"/>
  <c r="FR247" i="2"/>
  <c r="FE247" i="2"/>
  <c r="FR246" i="2"/>
  <c r="FE246" i="2"/>
  <c r="FR245" i="2"/>
  <c r="FE245" i="2"/>
  <c r="FR244" i="2"/>
  <c r="FE244" i="2"/>
  <c r="FR243" i="2"/>
  <c r="FE243" i="2"/>
  <c r="FR242" i="2"/>
  <c r="FE242" i="2"/>
  <c r="FR241" i="2"/>
  <c r="FE241" i="2"/>
  <c r="FR240" i="2"/>
  <c r="FE240" i="2"/>
  <c r="FR239" i="2"/>
  <c r="FE239" i="2"/>
  <c r="FQ238" i="2"/>
  <c r="FP238" i="2"/>
  <c r="FO238" i="2"/>
  <c r="FN238" i="2"/>
  <c r="FM238" i="2"/>
  <c r="FL238" i="2"/>
  <c r="FK238" i="2"/>
  <c r="FJ238" i="2"/>
  <c r="FI238" i="2"/>
  <c r="FH238" i="2"/>
  <c r="FG238" i="2"/>
  <c r="FF238" i="2"/>
  <c r="FR237" i="2"/>
  <c r="FE237" i="2"/>
  <c r="FE236" i="2"/>
  <c r="FR235" i="2"/>
  <c r="FE235" i="2"/>
  <c r="FR234" i="2"/>
  <c r="FE234" i="2"/>
  <c r="FR233" i="2"/>
  <c r="FE233" i="2"/>
  <c r="FR232" i="2"/>
  <c r="FE232" i="2"/>
  <c r="FQ231" i="2"/>
  <c r="FP231" i="2"/>
  <c r="FO231" i="2"/>
  <c r="FN231" i="2"/>
  <c r="FM231" i="2"/>
  <c r="FL231" i="2"/>
  <c r="FK231" i="2"/>
  <c r="FJ231" i="2"/>
  <c r="FI231" i="2"/>
  <c r="FH231" i="2"/>
  <c r="FG231" i="2"/>
  <c r="FF231" i="2"/>
  <c r="FR230" i="2"/>
  <c r="FE230" i="2"/>
  <c r="FR229" i="2"/>
  <c r="FE229" i="2"/>
  <c r="FQ228" i="2"/>
  <c r="FP228" i="2"/>
  <c r="FO228" i="2"/>
  <c r="FN228" i="2"/>
  <c r="FM228" i="2"/>
  <c r="FL228" i="2"/>
  <c r="FK228" i="2"/>
  <c r="FJ228" i="2"/>
  <c r="FI228" i="2"/>
  <c r="FH228" i="2"/>
  <c r="FG228" i="2"/>
  <c r="FF228" i="2"/>
  <c r="FR228" i="2" s="1"/>
  <c r="FR227" i="2"/>
  <c r="FE227" i="2"/>
  <c r="FR226" i="2"/>
  <c r="FE226" i="2"/>
  <c r="FR225" i="2"/>
  <c r="FE225" i="2"/>
  <c r="FR224" i="2"/>
  <c r="FE224" i="2"/>
  <c r="FR223" i="2"/>
  <c r="FE223" i="2"/>
  <c r="FR222" i="2"/>
  <c r="FE222" i="2"/>
  <c r="FQ221" i="2"/>
  <c r="FP221" i="2"/>
  <c r="FO221" i="2"/>
  <c r="FN221" i="2"/>
  <c r="FM221" i="2"/>
  <c r="FL221" i="2"/>
  <c r="FK221" i="2"/>
  <c r="FJ221" i="2"/>
  <c r="FI221" i="2"/>
  <c r="FH221" i="2"/>
  <c r="FG221" i="2"/>
  <c r="FF221" i="2"/>
  <c r="FR221" i="2" s="1"/>
  <c r="FE221" i="2"/>
  <c r="FQ220" i="2"/>
  <c r="FP220" i="2"/>
  <c r="FO220" i="2"/>
  <c r="FN220" i="2"/>
  <c r="FM220" i="2"/>
  <c r="FL220" i="2"/>
  <c r="FK220" i="2"/>
  <c r="FJ220" i="2"/>
  <c r="FI220" i="2"/>
  <c r="FH220" i="2"/>
  <c r="FG220" i="2"/>
  <c r="FF220" i="2"/>
  <c r="FE220" i="2"/>
  <c r="FQ219" i="2"/>
  <c r="FP219" i="2"/>
  <c r="FO219" i="2"/>
  <c r="FN219" i="2"/>
  <c r="FM219" i="2"/>
  <c r="FL219" i="2"/>
  <c r="FK219" i="2"/>
  <c r="FJ219" i="2"/>
  <c r="FI219" i="2"/>
  <c r="FH219" i="2"/>
  <c r="FG219" i="2"/>
  <c r="FF219" i="2"/>
  <c r="FE219" i="2"/>
  <c r="FQ218" i="2"/>
  <c r="FP218" i="2"/>
  <c r="FO218" i="2"/>
  <c r="FN218" i="2"/>
  <c r="FM218" i="2"/>
  <c r="FL218" i="2"/>
  <c r="FK218" i="2"/>
  <c r="FJ218" i="2"/>
  <c r="FI218" i="2"/>
  <c r="FH218" i="2"/>
  <c r="FG218" i="2"/>
  <c r="FF218" i="2"/>
  <c r="FR218" i="2" s="1"/>
  <c r="FE218" i="2"/>
  <c r="FQ217" i="2"/>
  <c r="FP217" i="2"/>
  <c r="FO217" i="2"/>
  <c r="FN217" i="2"/>
  <c r="FM217" i="2"/>
  <c r="FL217" i="2"/>
  <c r="FK217" i="2"/>
  <c r="FJ217" i="2"/>
  <c r="FI217" i="2"/>
  <c r="FH217" i="2"/>
  <c r="FG217" i="2"/>
  <c r="FF217" i="2"/>
  <c r="FR217" i="2" s="1"/>
  <c r="FE217" i="2"/>
  <c r="FE216" i="2"/>
  <c r="FR215" i="2"/>
  <c r="FE215" i="2"/>
  <c r="FR214" i="2"/>
  <c r="FE214" i="2"/>
  <c r="FR213" i="2"/>
  <c r="FE213" i="2"/>
  <c r="FR212" i="2"/>
  <c r="FE212" i="2"/>
  <c r="FR211" i="2"/>
  <c r="FE211" i="2"/>
  <c r="FE210" i="2"/>
  <c r="FR209" i="2"/>
  <c r="FE209" i="2"/>
  <c r="FS200" i="2"/>
  <c r="FR173" i="2"/>
  <c r="FR172" i="2"/>
  <c r="FR171" i="2"/>
  <c r="FR170" i="2"/>
  <c r="FR162" i="2"/>
  <c r="FQ154" i="2"/>
  <c r="FP154" i="2"/>
  <c r="FO154" i="2"/>
  <c r="FN154" i="2"/>
  <c r="FM154" i="2"/>
  <c r="FL154" i="2"/>
  <c r="FK154" i="2"/>
  <c r="FJ154" i="2"/>
  <c r="FI154" i="2"/>
  <c r="FH154" i="2"/>
  <c r="FG154" i="2"/>
  <c r="FF154" i="2"/>
  <c r="FQ153" i="2"/>
  <c r="FP153" i="2"/>
  <c r="FO153" i="2"/>
  <c r="FN153" i="2"/>
  <c r="FM153" i="2"/>
  <c r="FL153" i="2"/>
  <c r="FK153" i="2"/>
  <c r="FJ153" i="2"/>
  <c r="FI153" i="2"/>
  <c r="FH153" i="2"/>
  <c r="FG153" i="2"/>
  <c r="FF153" i="2"/>
  <c r="FR153" i="2" s="1"/>
  <c r="FQ152" i="2"/>
  <c r="FP152" i="2"/>
  <c r="FO152" i="2"/>
  <c r="FN152" i="2"/>
  <c r="FM152" i="2"/>
  <c r="FL152" i="2"/>
  <c r="FK152" i="2"/>
  <c r="FJ152" i="2"/>
  <c r="FI152" i="2"/>
  <c r="FH152" i="2"/>
  <c r="FG152" i="2"/>
  <c r="FF152" i="2"/>
  <c r="FR152" i="2" s="1"/>
  <c r="FQ151" i="2"/>
  <c r="FP151" i="2"/>
  <c r="FO151" i="2"/>
  <c r="FN151" i="2"/>
  <c r="FM151" i="2"/>
  <c r="FL151" i="2"/>
  <c r="FK151" i="2"/>
  <c r="FJ151" i="2"/>
  <c r="FI151" i="2"/>
  <c r="FH151" i="2"/>
  <c r="FG151" i="2"/>
  <c r="FF151" i="2"/>
  <c r="FQ150" i="2"/>
  <c r="FP150" i="2"/>
  <c r="FO150" i="2"/>
  <c r="FN150" i="2"/>
  <c r="FM150" i="2"/>
  <c r="FL150" i="2"/>
  <c r="FK150" i="2"/>
  <c r="FJ150" i="2"/>
  <c r="FI150" i="2"/>
  <c r="FH150" i="2"/>
  <c r="FG150" i="2"/>
  <c r="FF150" i="2"/>
  <c r="FR150" i="2" s="1"/>
  <c r="FQ149" i="2"/>
  <c r="FP149" i="2"/>
  <c r="FO149" i="2"/>
  <c r="FN149" i="2"/>
  <c r="FM149" i="2"/>
  <c r="FL149" i="2"/>
  <c r="FK149" i="2"/>
  <c r="FK147" i="2" s="1"/>
  <c r="FJ149" i="2"/>
  <c r="FI149" i="2"/>
  <c r="FH149" i="2"/>
  <c r="FG149" i="2"/>
  <c r="FF149" i="2"/>
  <c r="FQ148" i="2"/>
  <c r="FP148" i="2"/>
  <c r="FO148" i="2"/>
  <c r="FN148" i="2"/>
  <c r="FN147" i="2" s="1"/>
  <c r="FM148" i="2"/>
  <c r="FL148" i="2"/>
  <c r="FK148" i="2"/>
  <c r="FJ148" i="2"/>
  <c r="FJ147" i="2" s="1"/>
  <c r="FI148" i="2"/>
  <c r="FH148" i="2"/>
  <c r="FG148" i="2"/>
  <c r="FF148" i="2"/>
  <c r="FP147" i="2"/>
  <c r="FO147" i="2"/>
  <c r="FL147" i="2"/>
  <c r="FH147" i="2"/>
  <c r="FG147" i="2"/>
  <c r="FQ146" i="2"/>
  <c r="FP146" i="2"/>
  <c r="FO146" i="2"/>
  <c r="FN146" i="2"/>
  <c r="FM146" i="2"/>
  <c r="FL146" i="2"/>
  <c r="FK146" i="2"/>
  <c r="FJ146" i="2"/>
  <c r="FI146" i="2"/>
  <c r="FH146" i="2"/>
  <c r="FG146" i="2"/>
  <c r="FF146" i="2"/>
  <c r="FR146" i="2" s="1"/>
  <c r="FQ145" i="2"/>
  <c r="FP145" i="2"/>
  <c r="FP144" i="2" s="1"/>
  <c r="FO145" i="2"/>
  <c r="FO144" i="2" s="1"/>
  <c r="FN145" i="2"/>
  <c r="FM145" i="2"/>
  <c r="FL145" i="2"/>
  <c r="FL144" i="2" s="1"/>
  <c r="FK145" i="2"/>
  <c r="FK144" i="2" s="1"/>
  <c r="FJ145" i="2"/>
  <c r="FI145" i="2"/>
  <c r="FH145" i="2"/>
  <c r="FH144" i="2" s="1"/>
  <c r="FG145" i="2"/>
  <c r="FG144" i="2" s="1"/>
  <c r="FF145" i="2"/>
  <c r="FQ144" i="2"/>
  <c r="FN144" i="2"/>
  <c r="FM144" i="2"/>
  <c r="FJ144" i="2"/>
  <c r="FI144" i="2"/>
  <c r="FF144" i="2"/>
  <c r="FQ143" i="2"/>
  <c r="FP143" i="2"/>
  <c r="FO143" i="2"/>
  <c r="FN143" i="2"/>
  <c r="FM143" i="2"/>
  <c r="FL143" i="2"/>
  <c r="FK143" i="2"/>
  <c r="FJ143" i="2"/>
  <c r="FI143" i="2"/>
  <c r="FH143" i="2"/>
  <c r="FG143" i="2"/>
  <c r="FF143" i="2"/>
  <c r="FR143" i="2" s="1"/>
  <c r="FQ142" i="2"/>
  <c r="FP142" i="2"/>
  <c r="FO142" i="2"/>
  <c r="FN142" i="2"/>
  <c r="FM142" i="2"/>
  <c r="FL142" i="2"/>
  <c r="FK142" i="2"/>
  <c r="FJ142" i="2"/>
  <c r="FI142" i="2"/>
  <c r="FH142" i="2"/>
  <c r="FG142" i="2"/>
  <c r="FF142" i="2"/>
  <c r="FR142" i="2" s="1"/>
  <c r="FQ141" i="2"/>
  <c r="FP141" i="2"/>
  <c r="FO141" i="2"/>
  <c r="FN141" i="2"/>
  <c r="FM141" i="2"/>
  <c r="FL141" i="2"/>
  <c r="FK141" i="2"/>
  <c r="FJ141" i="2"/>
  <c r="FI141" i="2"/>
  <c r="FH141" i="2"/>
  <c r="FG141" i="2"/>
  <c r="FF141" i="2"/>
  <c r="FQ140" i="2"/>
  <c r="FP140" i="2"/>
  <c r="FO140" i="2"/>
  <c r="FN140" i="2"/>
  <c r="FM140" i="2"/>
  <c r="FL140" i="2"/>
  <c r="FK140" i="2"/>
  <c r="FJ140" i="2"/>
  <c r="FI140" i="2"/>
  <c r="FH140" i="2"/>
  <c r="FG140" i="2"/>
  <c r="FF140" i="2"/>
  <c r="FQ139" i="2"/>
  <c r="FP139" i="2"/>
  <c r="FP138" i="2" s="1"/>
  <c r="FO139" i="2"/>
  <c r="FN139" i="2"/>
  <c r="FM139" i="2"/>
  <c r="FL139" i="2"/>
  <c r="FL138" i="2" s="1"/>
  <c r="FK139" i="2"/>
  <c r="FJ139" i="2"/>
  <c r="FI139" i="2"/>
  <c r="FH139" i="2"/>
  <c r="FH138" i="2" s="1"/>
  <c r="FG139" i="2"/>
  <c r="FF139" i="2"/>
  <c r="FQ138" i="2"/>
  <c r="FN138" i="2"/>
  <c r="FM138" i="2"/>
  <c r="FJ138" i="2"/>
  <c r="FI138" i="2"/>
  <c r="FF138" i="2"/>
  <c r="FQ137" i="2"/>
  <c r="FP137" i="2"/>
  <c r="FO137" i="2"/>
  <c r="FN137" i="2"/>
  <c r="FM137" i="2"/>
  <c r="FL137" i="2"/>
  <c r="FK137" i="2"/>
  <c r="FJ137" i="2"/>
  <c r="FI137" i="2"/>
  <c r="FH137" i="2"/>
  <c r="FG137" i="2"/>
  <c r="FF137" i="2"/>
  <c r="FQ136" i="2"/>
  <c r="FP136" i="2"/>
  <c r="FO136" i="2"/>
  <c r="FN136" i="2"/>
  <c r="FM136" i="2"/>
  <c r="FL136" i="2"/>
  <c r="FK136" i="2"/>
  <c r="FJ136" i="2"/>
  <c r="FI136" i="2"/>
  <c r="FH136" i="2"/>
  <c r="FG136" i="2"/>
  <c r="FF136" i="2"/>
  <c r="FR136" i="2" s="1"/>
  <c r="FQ134" i="2"/>
  <c r="FP134" i="2"/>
  <c r="FO134" i="2"/>
  <c r="FN134" i="2"/>
  <c r="FM134" i="2"/>
  <c r="FL134" i="2"/>
  <c r="FK134" i="2"/>
  <c r="FJ134" i="2"/>
  <c r="FI134" i="2"/>
  <c r="FH134" i="2"/>
  <c r="FG134" i="2"/>
  <c r="FF134" i="2"/>
  <c r="FR134" i="2" s="1"/>
  <c r="FQ133" i="2"/>
  <c r="FP133" i="2"/>
  <c r="FO133" i="2"/>
  <c r="FN133" i="2"/>
  <c r="FM133" i="2"/>
  <c r="FL133" i="2"/>
  <c r="FK133" i="2"/>
  <c r="FJ133" i="2"/>
  <c r="FI133" i="2"/>
  <c r="FH133" i="2"/>
  <c r="FG133" i="2"/>
  <c r="FF133" i="2"/>
  <c r="FQ132" i="2"/>
  <c r="FP132" i="2"/>
  <c r="FO132" i="2"/>
  <c r="FN132" i="2"/>
  <c r="FM132" i="2"/>
  <c r="FL132" i="2"/>
  <c r="FK132" i="2"/>
  <c r="FJ132" i="2"/>
  <c r="FI132" i="2"/>
  <c r="FH132" i="2"/>
  <c r="FG132" i="2"/>
  <c r="FF132" i="2"/>
  <c r="FQ131" i="2"/>
  <c r="FP131" i="2"/>
  <c r="FO131" i="2"/>
  <c r="FN131" i="2"/>
  <c r="FM131" i="2"/>
  <c r="FL131" i="2"/>
  <c r="FK131" i="2"/>
  <c r="FJ131" i="2"/>
  <c r="FI131" i="2"/>
  <c r="FH131" i="2"/>
  <c r="FG131" i="2"/>
  <c r="FF131" i="2"/>
  <c r="FR131" i="2" s="1"/>
  <c r="FQ130" i="2"/>
  <c r="FP130" i="2"/>
  <c r="FO130" i="2"/>
  <c r="FN130" i="2"/>
  <c r="FM130" i="2"/>
  <c r="FL130" i="2"/>
  <c r="FK130" i="2"/>
  <c r="FJ130" i="2"/>
  <c r="FI130" i="2"/>
  <c r="FH130" i="2"/>
  <c r="FG130" i="2"/>
  <c r="FF130" i="2"/>
  <c r="FQ129" i="2"/>
  <c r="FP129" i="2"/>
  <c r="FO129" i="2"/>
  <c r="FN129" i="2"/>
  <c r="FM129" i="2"/>
  <c r="FL129" i="2"/>
  <c r="FK129" i="2"/>
  <c r="FJ129" i="2"/>
  <c r="FI129" i="2"/>
  <c r="FH129" i="2"/>
  <c r="FG129" i="2"/>
  <c r="FF129" i="2"/>
  <c r="FR129" i="2" s="1"/>
  <c r="FQ128" i="2"/>
  <c r="FP128" i="2"/>
  <c r="FO128" i="2"/>
  <c r="FN128" i="2"/>
  <c r="FM128" i="2"/>
  <c r="FL128" i="2"/>
  <c r="FK128" i="2"/>
  <c r="FJ128" i="2"/>
  <c r="FI128" i="2"/>
  <c r="FH128" i="2"/>
  <c r="FG128" i="2"/>
  <c r="FF128" i="2"/>
  <c r="FR128" i="2" s="1"/>
  <c r="HD113" i="2"/>
  <c r="HD112" i="2"/>
  <c r="HD111" i="2"/>
  <c r="HD110" i="2"/>
  <c r="FQ110" i="2"/>
  <c r="FP110" i="2"/>
  <c r="FO110" i="2"/>
  <c r="FN110" i="2"/>
  <c r="FM110" i="2"/>
  <c r="FL110" i="2"/>
  <c r="FK110" i="2"/>
  <c r="FJ110" i="2"/>
  <c r="FI110" i="2"/>
  <c r="FH110" i="2"/>
  <c r="FG110" i="2"/>
  <c r="FF110" i="2"/>
  <c r="FR110" i="2" s="1"/>
  <c r="HD109" i="2"/>
  <c r="FQ109" i="2"/>
  <c r="FP109" i="2"/>
  <c r="FO109" i="2"/>
  <c r="FN109" i="2"/>
  <c r="FM109" i="2"/>
  <c r="FL109" i="2"/>
  <c r="FK109" i="2"/>
  <c r="FJ109" i="2"/>
  <c r="FI109" i="2"/>
  <c r="FH109" i="2"/>
  <c r="FG109" i="2"/>
  <c r="FF109" i="2"/>
  <c r="FR109" i="2" s="1"/>
  <c r="HD108" i="2"/>
  <c r="FQ108" i="2"/>
  <c r="FP108" i="2"/>
  <c r="FO108" i="2"/>
  <c r="FN108" i="2"/>
  <c r="FM108" i="2"/>
  <c r="FL108" i="2"/>
  <c r="FK108" i="2"/>
  <c r="FJ108" i="2"/>
  <c r="FI108" i="2"/>
  <c r="FH108" i="2"/>
  <c r="FG108" i="2"/>
  <c r="FF108" i="2"/>
  <c r="HD107" i="2"/>
  <c r="FQ107" i="2"/>
  <c r="FP107" i="2"/>
  <c r="FO107" i="2"/>
  <c r="FN107" i="2"/>
  <c r="FM107" i="2"/>
  <c r="FL107" i="2"/>
  <c r="FK107" i="2"/>
  <c r="FJ107" i="2"/>
  <c r="FI107" i="2"/>
  <c r="FH107" i="2"/>
  <c r="FG107" i="2"/>
  <c r="FF107" i="2"/>
  <c r="FQ105" i="2"/>
  <c r="FP105" i="2"/>
  <c r="FO105" i="2"/>
  <c r="FN105" i="2"/>
  <c r="FM105" i="2"/>
  <c r="FL105" i="2"/>
  <c r="FK105" i="2"/>
  <c r="FJ105" i="2"/>
  <c r="FI105" i="2"/>
  <c r="FH105" i="2"/>
  <c r="FG105" i="2"/>
  <c r="FF105" i="2"/>
  <c r="FQ104" i="2"/>
  <c r="FP104" i="2"/>
  <c r="FO104" i="2"/>
  <c r="FN104" i="2"/>
  <c r="FM104" i="2"/>
  <c r="FL104" i="2"/>
  <c r="FK104" i="2"/>
  <c r="FJ104" i="2"/>
  <c r="FI104" i="2"/>
  <c r="FH104" i="2"/>
  <c r="FG104" i="2"/>
  <c r="FF104" i="2"/>
  <c r="FR104" i="2" s="1"/>
  <c r="FQ103" i="2"/>
  <c r="FP103" i="2"/>
  <c r="FO103" i="2"/>
  <c r="FN103" i="2"/>
  <c r="FM103" i="2"/>
  <c r="FL103" i="2"/>
  <c r="FK103" i="2"/>
  <c r="FJ103" i="2"/>
  <c r="FI103" i="2"/>
  <c r="FH103" i="2"/>
  <c r="FG103" i="2"/>
  <c r="FF103" i="2"/>
  <c r="FR103" i="2" s="1"/>
  <c r="FQ102" i="2"/>
  <c r="FP102" i="2"/>
  <c r="FO102" i="2"/>
  <c r="FN102" i="2"/>
  <c r="FM102" i="2"/>
  <c r="FL102" i="2"/>
  <c r="FK102" i="2"/>
  <c r="FJ102" i="2"/>
  <c r="FI102" i="2"/>
  <c r="FH102" i="2"/>
  <c r="FG102" i="2"/>
  <c r="FF102" i="2"/>
  <c r="FR102" i="2" s="1"/>
  <c r="FQ101" i="2"/>
  <c r="FP101" i="2"/>
  <c r="FO101" i="2"/>
  <c r="FN101" i="2"/>
  <c r="FM101" i="2"/>
  <c r="FL101" i="2"/>
  <c r="FK101" i="2"/>
  <c r="FJ101" i="2"/>
  <c r="FI101" i="2"/>
  <c r="FH101" i="2"/>
  <c r="FG101" i="2"/>
  <c r="FF101" i="2"/>
  <c r="DS101" i="2"/>
  <c r="CY101" i="2"/>
  <c r="CE101" i="2"/>
  <c r="BK101" i="2"/>
  <c r="EM101" i="2" s="1"/>
  <c r="EM100" i="2"/>
  <c r="CY100" i="2"/>
  <c r="BK100" i="2"/>
  <c r="DS100" i="2" s="1"/>
  <c r="FQ99" i="2"/>
  <c r="FP99" i="2"/>
  <c r="FO99" i="2"/>
  <c r="FN99" i="2"/>
  <c r="FM99" i="2"/>
  <c r="FL99" i="2"/>
  <c r="FK99" i="2"/>
  <c r="FJ99" i="2"/>
  <c r="FI99" i="2"/>
  <c r="FH99" i="2"/>
  <c r="FG99" i="2"/>
  <c r="FF99" i="2"/>
  <c r="EM99" i="2"/>
  <c r="DS99" i="2"/>
  <c r="CY99" i="2"/>
  <c r="BK99" i="2"/>
  <c r="CE99" i="2" s="1"/>
  <c r="HE98" i="2"/>
  <c r="FR98" i="2"/>
  <c r="BK98" i="2"/>
  <c r="GI97" i="2"/>
  <c r="GE97" i="2"/>
  <c r="FQ97" i="2"/>
  <c r="FP97" i="2"/>
  <c r="FO97" i="2"/>
  <c r="FN97" i="2"/>
  <c r="FM97" i="2"/>
  <c r="FL97" i="2"/>
  <c r="FK97" i="2"/>
  <c r="FJ97" i="2"/>
  <c r="FI97" i="2"/>
  <c r="FH97" i="2"/>
  <c r="FG97" i="2"/>
  <c r="FF97" i="2"/>
  <c r="DS97" i="2"/>
  <c r="BK97" i="2"/>
  <c r="GI96" i="2"/>
  <c r="GE96" i="2"/>
  <c r="FQ96" i="2"/>
  <c r="FP96" i="2"/>
  <c r="FO96" i="2"/>
  <c r="FN96" i="2"/>
  <c r="FM96" i="2"/>
  <c r="FL96" i="2"/>
  <c r="FK96" i="2"/>
  <c r="FJ96" i="2"/>
  <c r="FI96" i="2"/>
  <c r="FH96" i="2"/>
  <c r="FG96" i="2"/>
  <c r="FF96" i="2"/>
  <c r="DS96" i="2"/>
  <c r="CY96" i="2"/>
  <c r="BK96" i="2"/>
  <c r="CE96" i="2" s="1"/>
  <c r="GI95" i="2"/>
  <c r="GE95" i="2"/>
  <c r="FQ95" i="2"/>
  <c r="FP95" i="2"/>
  <c r="FO95" i="2"/>
  <c r="FN95" i="2"/>
  <c r="FM95" i="2"/>
  <c r="FL95" i="2"/>
  <c r="FK95" i="2"/>
  <c r="FJ95" i="2"/>
  <c r="FI95" i="2"/>
  <c r="FH95" i="2"/>
  <c r="FG95" i="2"/>
  <c r="FF95" i="2"/>
  <c r="FR95" i="2" s="1"/>
  <c r="CY95" i="2"/>
  <c r="CE95" i="2"/>
  <c r="BK95" i="2"/>
  <c r="GI94" i="2"/>
  <c r="GE94" i="2"/>
  <c r="FQ94" i="2"/>
  <c r="FP94" i="2"/>
  <c r="FO94" i="2"/>
  <c r="FN94" i="2"/>
  <c r="FN92" i="2" s="1"/>
  <c r="FM94" i="2"/>
  <c r="FL94" i="2"/>
  <c r="FK94" i="2"/>
  <c r="FJ94" i="2"/>
  <c r="FJ92" i="2" s="1"/>
  <c r="FI94" i="2"/>
  <c r="FH94" i="2"/>
  <c r="FG94" i="2"/>
  <c r="FF94" i="2"/>
  <c r="FF92" i="2" s="1"/>
  <c r="EM94" i="2"/>
  <c r="BK94" i="2"/>
  <c r="FQ93" i="2"/>
  <c r="FP93" i="2"/>
  <c r="FO93" i="2"/>
  <c r="FO92" i="2" s="1"/>
  <c r="FN93" i="2"/>
  <c r="FM93" i="2"/>
  <c r="FL93" i="2"/>
  <c r="FK93" i="2"/>
  <c r="FK92" i="2" s="1"/>
  <c r="FJ93" i="2"/>
  <c r="FI93" i="2"/>
  <c r="FH93" i="2"/>
  <c r="FG93" i="2"/>
  <c r="FG92" i="2" s="1"/>
  <c r="FF93" i="2"/>
  <c r="FR93" i="2" s="1"/>
  <c r="CY93" i="2"/>
  <c r="CE93" i="2"/>
  <c r="BK93" i="2"/>
  <c r="EM93" i="2" s="1"/>
  <c r="FQ92" i="2"/>
  <c r="FP92" i="2"/>
  <c r="FM92" i="2"/>
  <c r="FL92" i="2"/>
  <c r="FI92" i="2"/>
  <c r="FH92" i="2"/>
  <c r="DS92" i="2"/>
  <c r="CY92" i="2"/>
  <c r="BK92" i="2"/>
  <c r="CE92" i="2" s="1"/>
  <c r="FQ91" i="2"/>
  <c r="FP91" i="2"/>
  <c r="FO91" i="2"/>
  <c r="FN91" i="2"/>
  <c r="FM91" i="2"/>
  <c r="FL91" i="2"/>
  <c r="FK91" i="2"/>
  <c r="FJ91" i="2"/>
  <c r="FI91" i="2"/>
  <c r="FH91" i="2"/>
  <c r="FG91" i="2"/>
  <c r="FF91" i="2"/>
  <c r="FR91" i="2" s="1"/>
  <c r="EM91" i="2"/>
  <c r="BK91" i="2"/>
  <c r="FQ90" i="2"/>
  <c r="FP90" i="2"/>
  <c r="FO90" i="2"/>
  <c r="FN90" i="2"/>
  <c r="FM90" i="2"/>
  <c r="FL90" i="2"/>
  <c r="FK90" i="2"/>
  <c r="FJ90" i="2"/>
  <c r="FI90" i="2"/>
  <c r="FH90" i="2"/>
  <c r="FG90" i="2"/>
  <c r="FF90" i="2"/>
  <c r="FR90" i="2" s="1"/>
  <c r="EM90" i="2"/>
  <c r="BK90" i="2"/>
  <c r="FQ89" i="2"/>
  <c r="FQ84" i="2" s="1"/>
  <c r="FP89" i="2"/>
  <c r="FO89" i="2"/>
  <c r="FN89" i="2"/>
  <c r="FM89" i="2"/>
  <c r="FM84" i="2" s="1"/>
  <c r="FL89" i="2"/>
  <c r="FK89" i="2"/>
  <c r="FJ89" i="2"/>
  <c r="FI89" i="2"/>
  <c r="FI84" i="2" s="1"/>
  <c r="FH89" i="2"/>
  <c r="FG89" i="2"/>
  <c r="FF89" i="2"/>
  <c r="DS89" i="2"/>
  <c r="BK89" i="2"/>
  <c r="CY89" i="2" s="1"/>
  <c r="FQ88" i="2"/>
  <c r="FP88" i="2"/>
  <c r="FO88" i="2"/>
  <c r="FN88" i="2"/>
  <c r="FM88" i="2"/>
  <c r="FL88" i="2"/>
  <c r="FK88" i="2"/>
  <c r="FJ88" i="2"/>
  <c r="FI88" i="2"/>
  <c r="FH88" i="2"/>
  <c r="FG88" i="2"/>
  <c r="FF88" i="2"/>
  <c r="FR88" i="2" s="1"/>
  <c r="CY88" i="2"/>
  <c r="CE88" i="2"/>
  <c r="BK88" i="2"/>
  <c r="EM88" i="2" s="1"/>
  <c r="FQ87" i="2"/>
  <c r="FP87" i="2"/>
  <c r="FO87" i="2"/>
  <c r="FO84" i="2" s="1"/>
  <c r="FN87" i="2"/>
  <c r="FM87" i="2"/>
  <c r="FL87" i="2"/>
  <c r="FK87" i="2"/>
  <c r="FJ87" i="2"/>
  <c r="FI87" i="2"/>
  <c r="FH87" i="2"/>
  <c r="FG87" i="2"/>
  <c r="FG84" i="2" s="1"/>
  <c r="FF87" i="2"/>
  <c r="FR87" i="2" s="1"/>
  <c r="CY87" i="2"/>
  <c r="CE87" i="2"/>
  <c r="BK87" i="2"/>
  <c r="EM87" i="2" s="1"/>
  <c r="HG86" i="2"/>
  <c r="HF86" i="2" s="1"/>
  <c r="FQ86" i="2"/>
  <c r="FP86" i="2"/>
  <c r="FO86" i="2"/>
  <c r="FN86" i="2"/>
  <c r="FM86" i="2"/>
  <c r="FL86" i="2"/>
  <c r="FK86" i="2"/>
  <c r="FJ86" i="2"/>
  <c r="FI86" i="2"/>
  <c r="FH86" i="2"/>
  <c r="FG86" i="2"/>
  <c r="FF86" i="2"/>
  <c r="BK86" i="2"/>
  <c r="HG85" i="2"/>
  <c r="HF85" i="2" s="1"/>
  <c r="FQ85" i="2"/>
  <c r="FP85" i="2"/>
  <c r="FO85" i="2"/>
  <c r="FN85" i="2"/>
  <c r="FM85" i="2"/>
  <c r="FL85" i="2"/>
  <c r="FK85" i="2"/>
  <c r="FJ85" i="2"/>
  <c r="FI85" i="2"/>
  <c r="FH85" i="2"/>
  <c r="FG85" i="2"/>
  <c r="FF85" i="2"/>
  <c r="FR85" i="2" s="1"/>
  <c r="DS85" i="2"/>
  <c r="CE85" i="2"/>
  <c r="BK85" i="2"/>
  <c r="EM85" i="2" s="1"/>
  <c r="HG84" i="2"/>
  <c r="HF84" i="2"/>
  <c r="FP84" i="2"/>
  <c r="FL84" i="2"/>
  <c r="FK84" i="2"/>
  <c r="FH84" i="2"/>
  <c r="CY84" i="2"/>
  <c r="CE84" i="2"/>
  <c r="BK84" i="2"/>
  <c r="EM84" i="2" s="1"/>
  <c r="HG83" i="2"/>
  <c r="HF83" i="2" s="1"/>
  <c r="FQ83" i="2"/>
  <c r="FP83" i="2"/>
  <c r="FO83" i="2"/>
  <c r="FN83" i="2"/>
  <c r="FM83" i="2"/>
  <c r="FL83" i="2"/>
  <c r="FK83" i="2"/>
  <c r="FJ83" i="2"/>
  <c r="FI83" i="2"/>
  <c r="FH83" i="2"/>
  <c r="FG83" i="2"/>
  <c r="FF83" i="2"/>
  <c r="FR83" i="2" s="1"/>
  <c r="DS83" i="2"/>
  <c r="CY83" i="2"/>
  <c r="BK83" i="2"/>
  <c r="CE83" i="2" s="1"/>
  <c r="HG82" i="2"/>
  <c r="HF82" i="2"/>
  <c r="CY82" i="2"/>
  <c r="CE82" i="2"/>
  <c r="BK82" i="2"/>
  <c r="EM82" i="2" s="1"/>
  <c r="FQ81" i="2"/>
  <c r="FP81" i="2"/>
  <c r="FO81" i="2"/>
  <c r="FN81" i="2"/>
  <c r="FM81" i="2"/>
  <c r="FL81" i="2"/>
  <c r="FK81" i="2"/>
  <c r="FJ81" i="2"/>
  <c r="FI81" i="2"/>
  <c r="FH81" i="2"/>
  <c r="FG81" i="2"/>
  <c r="FF81" i="2"/>
  <c r="DS81" i="2"/>
  <c r="CY81" i="2"/>
  <c r="BK81" i="2"/>
  <c r="CE81" i="2" s="1"/>
  <c r="BK80" i="2"/>
  <c r="EM80" i="2" s="1"/>
  <c r="HG79" i="2"/>
  <c r="HF79" i="2" s="1"/>
  <c r="FQ79" i="2"/>
  <c r="FP79" i="2"/>
  <c r="FO79" i="2"/>
  <c r="FN79" i="2"/>
  <c r="FM79" i="2"/>
  <c r="FL79" i="2"/>
  <c r="FK79" i="2"/>
  <c r="FJ79" i="2"/>
  <c r="FI79" i="2"/>
  <c r="FH79" i="2"/>
  <c r="FG79" i="2"/>
  <c r="FF79" i="2"/>
  <c r="FR79" i="2" s="1"/>
  <c r="BK79" i="2"/>
  <c r="EM79" i="2" s="1"/>
  <c r="HG78" i="2"/>
  <c r="HF78" i="2" s="1"/>
  <c r="FQ78" i="2"/>
  <c r="FP78" i="2"/>
  <c r="FO78" i="2"/>
  <c r="FN78" i="2"/>
  <c r="FM78" i="2"/>
  <c r="FL78" i="2"/>
  <c r="FK78" i="2"/>
  <c r="FJ78" i="2"/>
  <c r="FI78" i="2"/>
  <c r="FH78" i="2"/>
  <c r="FG78" i="2"/>
  <c r="FF78" i="2"/>
  <c r="FR78" i="2" s="1"/>
  <c r="BK78" i="2"/>
  <c r="EM78" i="2" s="1"/>
  <c r="HG77" i="2"/>
  <c r="HF77" i="2"/>
  <c r="FQ77" i="2"/>
  <c r="FP77" i="2"/>
  <c r="FO77" i="2"/>
  <c r="FN77" i="2"/>
  <c r="FM77" i="2"/>
  <c r="FL77" i="2"/>
  <c r="FK77" i="2"/>
  <c r="FJ77" i="2"/>
  <c r="FI77" i="2"/>
  <c r="FH77" i="2"/>
  <c r="FG77" i="2"/>
  <c r="FF77" i="2"/>
  <c r="FR77" i="2" s="1"/>
  <c r="EM77" i="2"/>
  <c r="BK77" i="2"/>
  <c r="CE77" i="2" s="1"/>
  <c r="HM76" i="2"/>
  <c r="HG76" i="2"/>
  <c r="HF76" i="2"/>
  <c r="FQ76" i="2"/>
  <c r="FP76" i="2"/>
  <c r="FO76" i="2"/>
  <c r="FN76" i="2"/>
  <c r="FM76" i="2"/>
  <c r="FL76" i="2"/>
  <c r="FK76" i="2"/>
  <c r="FJ76" i="2"/>
  <c r="FI76" i="2"/>
  <c r="FH76" i="2"/>
  <c r="FG76" i="2"/>
  <c r="FF76" i="2"/>
  <c r="FR76" i="2" s="1"/>
  <c r="BK76" i="2"/>
  <c r="HM75" i="2"/>
  <c r="HG75" i="2"/>
  <c r="HF75" i="2"/>
  <c r="FQ75" i="2"/>
  <c r="FP75" i="2"/>
  <c r="FO75" i="2"/>
  <c r="FN75" i="2"/>
  <c r="FM75" i="2"/>
  <c r="FL75" i="2"/>
  <c r="FK75" i="2"/>
  <c r="FJ75" i="2"/>
  <c r="FI75" i="2"/>
  <c r="FH75" i="2"/>
  <c r="FG75" i="2"/>
  <c r="FF75" i="2"/>
  <c r="DS75" i="2"/>
  <c r="BK75" i="2"/>
  <c r="EM75" i="2" s="1"/>
  <c r="HG74" i="2"/>
  <c r="HF74" i="2"/>
  <c r="FQ74" i="2"/>
  <c r="FP74" i="2"/>
  <c r="FO74" i="2"/>
  <c r="FN74" i="2"/>
  <c r="FM74" i="2"/>
  <c r="FL74" i="2"/>
  <c r="FK74" i="2"/>
  <c r="FJ74" i="2"/>
  <c r="FI74" i="2"/>
  <c r="FH74" i="2"/>
  <c r="FG74" i="2"/>
  <c r="FF74" i="2"/>
  <c r="FR74" i="2" s="1"/>
  <c r="BK74" i="2"/>
  <c r="HM73" i="2"/>
  <c r="HG73" i="2"/>
  <c r="HF73" i="2"/>
  <c r="FQ73" i="2"/>
  <c r="FP73" i="2"/>
  <c r="FO73" i="2"/>
  <c r="FN73" i="2"/>
  <c r="FM73" i="2"/>
  <c r="FL73" i="2"/>
  <c r="FK73" i="2"/>
  <c r="FJ73" i="2"/>
  <c r="FI73" i="2"/>
  <c r="FH73" i="2"/>
  <c r="FG73" i="2"/>
  <c r="FF73" i="2"/>
  <c r="FR73" i="2" s="1"/>
  <c r="EM73" i="2"/>
  <c r="BK73" i="2"/>
  <c r="HM72" i="2"/>
  <c r="HG72" i="2"/>
  <c r="HF72" i="2"/>
  <c r="FQ72" i="2"/>
  <c r="FQ63" i="2" s="1"/>
  <c r="FP72" i="2"/>
  <c r="FO72" i="2"/>
  <c r="FN72" i="2"/>
  <c r="FM72" i="2"/>
  <c r="FM63" i="2" s="1"/>
  <c r="FL72" i="2"/>
  <c r="FK72" i="2"/>
  <c r="FJ72" i="2"/>
  <c r="FI72" i="2"/>
  <c r="FI63" i="2" s="1"/>
  <c r="FH72" i="2"/>
  <c r="FG72" i="2"/>
  <c r="FF72" i="2"/>
  <c r="DS72" i="2"/>
  <c r="BK72" i="2"/>
  <c r="HT71" i="2"/>
  <c r="HR71" i="2"/>
  <c r="HP71" i="2"/>
  <c r="HN71" i="2"/>
  <c r="HM71" i="2"/>
  <c r="HF71" i="2"/>
  <c r="FQ71" i="2"/>
  <c r="FP71" i="2"/>
  <c r="FO71" i="2"/>
  <c r="FN71" i="2"/>
  <c r="FM71" i="2"/>
  <c r="FL71" i="2"/>
  <c r="FK71" i="2"/>
  <c r="FJ71" i="2"/>
  <c r="FI71" i="2"/>
  <c r="FH71" i="2"/>
  <c r="FG71" i="2"/>
  <c r="FF71" i="2"/>
  <c r="FR71" i="2" s="1"/>
  <c r="BK71" i="2"/>
  <c r="HG70" i="2"/>
  <c r="HF70" i="2" s="1"/>
  <c r="FQ70" i="2"/>
  <c r="FP70" i="2"/>
  <c r="FO70" i="2"/>
  <c r="FN70" i="2"/>
  <c r="FM70" i="2"/>
  <c r="FL70" i="2"/>
  <c r="FK70" i="2"/>
  <c r="FJ70" i="2"/>
  <c r="FI70" i="2"/>
  <c r="FH70" i="2"/>
  <c r="FG70" i="2"/>
  <c r="FF70" i="2"/>
  <c r="FR70" i="2" s="1"/>
  <c r="DS70" i="2"/>
  <c r="CY70" i="2"/>
  <c r="BK70" i="2"/>
  <c r="CE70" i="2" s="1"/>
  <c r="HG69" i="2"/>
  <c r="HF69" i="2"/>
  <c r="FQ69" i="2"/>
  <c r="FP69" i="2"/>
  <c r="FO69" i="2"/>
  <c r="FN69" i="2"/>
  <c r="FM69" i="2"/>
  <c r="FL69" i="2"/>
  <c r="FK69" i="2"/>
  <c r="FJ69" i="2"/>
  <c r="FI69" i="2"/>
  <c r="FH69" i="2"/>
  <c r="FG69" i="2"/>
  <c r="FF69" i="2"/>
  <c r="FR69" i="2" s="1"/>
  <c r="DS69" i="2"/>
  <c r="CY69" i="2"/>
  <c r="BK69" i="2"/>
  <c r="CE69" i="2" s="1"/>
  <c r="HG68" i="2"/>
  <c r="HF68" i="2"/>
  <c r="FQ68" i="2"/>
  <c r="FP68" i="2"/>
  <c r="FO68" i="2"/>
  <c r="FN68" i="2"/>
  <c r="FM68" i="2"/>
  <c r="FL68" i="2"/>
  <c r="FK68" i="2"/>
  <c r="FJ68" i="2"/>
  <c r="FI68" i="2"/>
  <c r="FH68" i="2"/>
  <c r="FG68" i="2"/>
  <c r="FF68" i="2"/>
  <c r="FR68" i="2" s="1"/>
  <c r="BK68" i="2"/>
  <c r="HG67" i="2"/>
  <c r="HF67" i="2"/>
  <c r="FQ67" i="2"/>
  <c r="FP67" i="2"/>
  <c r="FO67" i="2"/>
  <c r="FN67" i="2"/>
  <c r="FM67" i="2"/>
  <c r="FL67" i="2"/>
  <c r="FK67" i="2"/>
  <c r="FJ67" i="2"/>
  <c r="FI67" i="2"/>
  <c r="FH67" i="2"/>
  <c r="FG67" i="2"/>
  <c r="FF67" i="2"/>
  <c r="FR67" i="2" s="1"/>
  <c r="DS67" i="2"/>
  <c r="CE67" i="2"/>
  <c r="BK67" i="2"/>
  <c r="EM67" i="2" s="1"/>
  <c r="HG66" i="2"/>
  <c r="HF66" i="2"/>
  <c r="GI66" i="2"/>
  <c r="GE66" i="2"/>
  <c r="FQ66" i="2"/>
  <c r="FP66" i="2"/>
  <c r="FO66" i="2"/>
  <c r="FN66" i="2"/>
  <c r="FM66" i="2"/>
  <c r="FL66" i="2"/>
  <c r="FK66" i="2"/>
  <c r="FJ66" i="2"/>
  <c r="FI66" i="2"/>
  <c r="FH66" i="2"/>
  <c r="FG66" i="2"/>
  <c r="FF66" i="2"/>
  <c r="FR66" i="2" s="1"/>
  <c r="CE66" i="2"/>
  <c r="BK66" i="2"/>
  <c r="HG65" i="2"/>
  <c r="HF65" i="2"/>
  <c r="GI65" i="2"/>
  <c r="GE65" i="2"/>
  <c r="FQ65" i="2"/>
  <c r="FP65" i="2"/>
  <c r="FO65" i="2"/>
  <c r="FN65" i="2"/>
  <c r="FM65" i="2"/>
  <c r="FL65" i="2"/>
  <c r="FK65" i="2"/>
  <c r="FJ65" i="2"/>
  <c r="FI65" i="2"/>
  <c r="FH65" i="2"/>
  <c r="FG65" i="2"/>
  <c r="FF65" i="2"/>
  <c r="FR65" i="2" s="1"/>
  <c r="EM65" i="2"/>
  <c r="BK65" i="2"/>
  <c r="HG64" i="2"/>
  <c r="HF64" i="2" s="1"/>
  <c r="GI64" i="2"/>
  <c r="GE64" i="2"/>
  <c r="FQ64" i="2"/>
  <c r="FP64" i="2"/>
  <c r="FP63" i="2" s="1"/>
  <c r="FO64" i="2"/>
  <c r="FO63" i="2" s="1"/>
  <c r="FN64" i="2"/>
  <c r="FM64" i="2"/>
  <c r="FL64" i="2"/>
  <c r="FL63" i="2" s="1"/>
  <c r="FK64" i="2"/>
  <c r="FK63" i="2" s="1"/>
  <c r="FJ64" i="2"/>
  <c r="FI64" i="2"/>
  <c r="FH64" i="2"/>
  <c r="FH63" i="2" s="1"/>
  <c r="FG64" i="2"/>
  <c r="FG63" i="2" s="1"/>
  <c r="FF64" i="2"/>
  <c r="FR64" i="2" s="1"/>
  <c r="DS64" i="2"/>
  <c r="CE64" i="2"/>
  <c r="BK64" i="2"/>
  <c r="EM64" i="2" s="1"/>
  <c r="HG63" i="2"/>
  <c r="HF63" i="2"/>
  <c r="GI63" i="2"/>
  <c r="GE63" i="2"/>
  <c r="FR63" i="2"/>
  <c r="FN63" i="2"/>
  <c r="FJ63" i="2"/>
  <c r="FF63" i="2"/>
  <c r="BK63" i="2"/>
  <c r="HG62" i="2"/>
  <c r="HF62" i="2" s="1"/>
  <c r="FQ62" i="2"/>
  <c r="FP62" i="2"/>
  <c r="FO62" i="2"/>
  <c r="FN62" i="2"/>
  <c r="FM62" i="2"/>
  <c r="FL62" i="2"/>
  <c r="FK62" i="2"/>
  <c r="FJ62" i="2"/>
  <c r="FI62" i="2"/>
  <c r="FH62" i="2"/>
  <c r="FG62" i="2"/>
  <c r="FF62" i="2"/>
  <c r="FR62" i="2" s="1"/>
  <c r="DS62" i="2"/>
  <c r="BK62" i="2"/>
  <c r="CY62" i="2" s="1"/>
  <c r="HG61" i="2"/>
  <c r="HF61" i="2"/>
  <c r="FQ61" i="2"/>
  <c r="FP61" i="2"/>
  <c r="FO61" i="2"/>
  <c r="FN61" i="2"/>
  <c r="FM61" i="2"/>
  <c r="FL61" i="2"/>
  <c r="FK61" i="2"/>
  <c r="FJ61" i="2"/>
  <c r="FI61" i="2"/>
  <c r="FH61" i="2"/>
  <c r="FG61" i="2"/>
  <c r="FF61" i="2"/>
  <c r="FR61" i="2" s="1"/>
  <c r="DS61" i="2"/>
  <c r="CY61" i="2"/>
  <c r="BK61" i="2"/>
  <c r="CE61" i="2" s="1"/>
  <c r="HG60" i="2"/>
  <c r="HF60" i="2"/>
  <c r="FQ60" i="2"/>
  <c r="FP60" i="2"/>
  <c r="FO60" i="2"/>
  <c r="FN60" i="2"/>
  <c r="FM60" i="2"/>
  <c r="FL60" i="2"/>
  <c r="FK60" i="2"/>
  <c r="FJ60" i="2"/>
  <c r="FI60" i="2"/>
  <c r="FH60" i="2"/>
  <c r="FG60" i="2"/>
  <c r="FF60" i="2"/>
  <c r="DS60" i="2"/>
  <c r="CY60" i="2"/>
  <c r="BK60" i="2"/>
  <c r="CE60" i="2" s="1"/>
  <c r="HG59" i="2"/>
  <c r="HF59" i="2"/>
  <c r="FQ59" i="2"/>
  <c r="FP59" i="2"/>
  <c r="FO59" i="2"/>
  <c r="FN59" i="2"/>
  <c r="FM59" i="2"/>
  <c r="FL59" i="2"/>
  <c r="FK59" i="2"/>
  <c r="FJ59" i="2"/>
  <c r="FI59" i="2"/>
  <c r="FH59" i="2"/>
  <c r="FG59" i="2"/>
  <c r="FF59" i="2"/>
  <c r="DS59" i="2"/>
  <c r="CE59" i="2"/>
  <c r="BK59" i="2"/>
  <c r="EM59" i="2" s="1"/>
  <c r="HG58" i="2"/>
  <c r="HF58" i="2"/>
  <c r="FQ58" i="2"/>
  <c r="FQ56" i="2" s="1"/>
  <c r="FP58" i="2"/>
  <c r="FO58" i="2"/>
  <c r="FN58" i="2"/>
  <c r="FN56" i="2" s="1"/>
  <c r="FM58" i="2"/>
  <c r="FM56" i="2" s="1"/>
  <c r="FL58" i="2"/>
  <c r="FK58" i="2"/>
  <c r="FJ58" i="2"/>
  <c r="FJ56" i="2" s="1"/>
  <c r="FI58" i="2"/>
  <c r="FI56" i="2" s="1"/>
  <c r="FH58" i="2"/>
  <c r="FG58" i="2"/>
  <c r="FF58" i="2"/>
  <c r="FF56" i="2" s="1"/>
  <c r="HG57" i="2"/>
  <c r="HF57" i="2"/>
  <c r="FQ57" i="2"/>
  <c r="FP57" i="2"/>
  <c r="FO57" i="2"/>
  <c r="FN57" i="2"/>
  <c r="FM57" i="2"/>
  <c r="FL57" i="2"/>
  <c r="FL56" i="2" s="1"/>
  <c r="FK57" i="2"/>
  <c r="FJ57" i="2"/>
  <c r="FI57" i="2"/>
  <c r="FH57" i="2"/>
  <c r="FG57" i="2"/>
  <c r="FF57" i="2"/>
  <c r="HG56" i="2"/>
  <c r="HF56" i="2" s="1"/>
  <c r="FP56" i="2"/>
  <c r="FO56" i="2"/>
  <c r="FK56" i="2"/>
  <c r="FH56" i="2"/>
  <c r="FG56" i="2"/>
  <c r="HG55" i="2"/>
  <c r="HF55" i="2"/>
  <c r="FQ55" i="2"/>
  <c r="FP55" i="2"/>
  <c r="FP53" i="2" s="1"/>
  <c r="FO55" i="2"/>
  <c r="FO53" i="2" s="1"/>
  <c r="FN55" i="2"/>
  <c r="FM55" i="2"/>
  <c r="FL55" i="2"/>
  <c r="FL53" i="2" s="1"/>
  <c r="FK55" i="2"/>
  <c r="FK53" i="2" s="1"/>
  <c r="FJ55" i="2"/>
  <c r="FI55" i="2"/>
  <c r="FH55" i="2"/>
  <c r="FH53" i="2" s="1"/>
  <c r="FG55" i="2"/>
  <c r="FG53" i="2" s="1"/>
  <c r="FF55" i="2"/>
  <c r="FR55" i="2" s="1"/>
  <c r="EP55" i="2"/>
  <c r="DV55" i="2"/>
  <c r="DB55" i="2"/>
  <c r="CH55" i="2"/>
  <c r="HG54" i="2"/>
  <c r="HF54" i="2"/>
  <c r="FQ54" i="2"/>
  <c r="FP54" i="2"/>
  <c r="FO54" i="2"/>
  <c r="FN54" i="2"/>
  <c r="FM54" i="2"/>
  <c r="FL54" i="2"/>
  <c r="FK54" i="2"/>
  <c r="FJ54" i="2"/>
  <c r="FI54" i="2"/>
  <c r="FH54" i="2"/>
  <c r="FG54" i="2"/>
  <c r="FF54" i="2"/>
  <c r="FR54" i="2" s="1"/>
  <c r="HG53" i="2"/>
  <c r="HF53" i="2" s="1"/>
  <c r="FQ53" i="2"/>
  <c r="FN53" i="2"/>
  <c r="FM53" i="2"/>
  <c r="FJ53" i="2"/>
  <c r="FI53" i="2"/>
  <c r="FF53" i="2"/>
  <c r="FR53" i="2" s="1"/>
  <c r="HG52" i="2"/>
  <c r="HF52" i="2" s="1"/>
  <c r="FQ52" i="2"/>
  <c r="FP52" i="2"/>
  <c r="FO52" i="2"/>
  <c r="FN52" i="2"/>
  <c r="FM52" i="2"/>
  <c r="FL52" i="2"/>
  <c r="FK52" i="2"/>
  <c r="FJ52" i="2"/>
  <c r="FI52" i="2"/>
  <c r="FH52" i="2"/>
  <c r="FG52" i="2"/>
  <c r="FF52" i="2"/>
  <c r="FR52" i="2" s="1"/>
  <c r="HG51" i="2"/>
  <c r="HF51" i="2"/>
  <c r="FQ51" i="2"/>
  <c r="FP51" i="2"/>
  <c r="FO51" i="2"/>
  <c r="FN51" i="2"/>
  <c r="FM51" i="2"/>
  <c r="FL51" i="2"/>
  <c r="FK51" i="2"/>
  <c r="FJ51" i="2"/>
  <c r="FI51" i="2"/>
  <c r="FH51" i="2"/>
  <c r="FG51" i="2"/>
  <c r="FF51" i="2"/>
  <c r="FR51" i="2" s="1"/>
  <c r="HG50" i="2"/>
  <c r="HF50" i="2"/>
  <c r="FQ50" i="2"/>
  <c r="FP50" i="2"/>
  <c r="FO50" i="2"/>
  <c r="FN50" i="2"/>
  <c r="FM50" i="2"/>
  <c r="FL50" i="2"/>
  <c r="FK50" i="2"/>
  <c r="FJ50" i="2"/>
  <c r="FI50" i="2"/>
  <c r="FH50" i="2"/>
  <c r="FG50" i="2"/>
  <c r="FF50" i="2"/>
  <c r="FR50" i="2" s="1"/>
  <c r="BK50" i="2"/>
  <c r="DS50" i="2" s="1"/>
  <c r="HG49" i="2"/>
  <c r="HF49" i="2" s="1"/>
  <c r="FQ49" i="2"/>
  <c r="FP49" i="2"/>
  <c r="FO49" i="2"/>
  <c r="FN49" i="2"/>
  <c r="FM49" i="2"/>
  <c r="FL49" i="2"/>
  <c r="FK49" i="2"/>
  <c r="FJ49" i="2"/>
  <c r="FI49" i="2"/>
  <c r="FH49" i="2"/>
  <c r="FG49" i="2"/>
  <c r="FF49" i="2"/>
  <c r="FR49" i="2" s="1"/>
  <c r="BK49" i="2"/>
  <c r="HG48" i="2"/>
  <c r="HF48" i="2" s="1"/>
  <c r="FQ48" i="2"/>
  <c r="FP48" i="2"/>
  <c r="FO48" i="2"/>
  <c r="FN48" i="2"/>
  <c r="FM48" i="2"/>
  <c r="FL48" i="2"/>
  <c r="FK48" i="2"/>
  <c r="FJ48" i="2"/>
  <c r="FI48" i="2"/>
  <c r="FH48" i="2"/>
  <c r="FG48" i="2"/>
  <c r="FF48" i="2"/>
  <c r="CE48" i="2"/>
  <c r="BK48" i="2"/>
  <c r="EM48" i="2" s="1"/>
  <c r="HG47" i="2"/>
  <c r="HF47" i="2"/>
  <c r="FQ47" i="2"/>
  <c r="FP47" i="2"/>
  <c r="FO47" i="2"/>
  <c r="FN47" i="2"/>
  <c r="FM47" i="2"/>
  <c r="FL47" i="2"/>
  <c r="FK47" i="2"/>
  <c r="FJ47" i="2"/>
  <c r="FI47" i="2"/>
  <c r="FH47" i="2"/>
  <c r="FG47" i="2"/>
  <c r="FF47" i="2"/>
  <c r="CY47" i="2"/>
  <c r="CE47" i="2"/>
  <c r="BK47" i="2"/>
  <c r="EM47" i="2" s="1"/>
  <c r="HG46" i="2"/>
  <c r="HF46" i="2" s="1"/>
  <c r="HF45" i="2" s="1"/>
  <c r="HE109" i="2" s="1"/>
  <c r="FQ46" i="2"/>
  <c r="FP46" i="2"/>
  <c r="FO46" i="2"/>
  <c r="FN46" i="2"/>
  <c r="FM46" i="2"/>
  <c r="FL46" i="2"/>
  <c r="FK46" i="2"/>
  <c r="FJ46" i="2"/>
  <c r="FI46" i="2"/>
  <c r="FH46" i="2"/>
  <c r="FG46" i="2"/>
  <c r="FF46" i="2"/>
  <c r="FR46" i="2" s="1"/>
  <c r="DS46" i="2"/>
  <c r="CY46" i="2"/>
  <c r="BK46" i="2"/>
  <c r="CE46" i="2" s="1"/>
  <c r="FQ45" i="2"/>
  <c r="FP45" i="2"/>
  <c r="FO45" i="2"/>
  <c r="FN45" i="2"/>
  <c r="FM45" i="2"/>
  <c r="FL45" i="2"/>
  <c r="FK45" i="2"/>
  <c r="FJ45" i="2"/>
  <c r="FI45" i="2"/>
  <c r="FH45" i="2"/>
  <c r="FG45" i="2"/>
  <c r="FF45" i="2"/>
  <c r="FR45" i="2" s="1"/>
  <c r="DS45" i="2"/>
  <c r="BK45" i="2"/>
  <c r="CY45" i="2" s="1"/>
  <c r="HG44" i="2"/>
  <c r="HF44" i="2"/>
  <c r="FQ44" i="2"/>
  <c r="FP44" i="2"/>
  <c r="FO44" i="2"/>
  <c r="FN44" i="2"/>
  <c r="FM44" i="2"/>
  <c r="FL44" i="2"/>
  <c r="FK44" i="2"/>
  <c r="FJ44" i="2"/>
  <c r="FI44" i="2"/>
  <c r="FH44" i="2"/>
  <c r="FG44" i="2"/>
  <c r="FF44" i="2"/>
  <c r="FR44" i="2" s="1"/>
  <c r="BK44" i="2"/>
  <c r="EM44" i="2" s="1"/>
  <c r="HG43" i="2"/>
  <c r="HF43" i="2"/>
  <c r="FQ43" i="2"/>
  <c r="FP43" i="2"/>
  <c r="FO43" i="2"/>
  <c r="FN43" i="2"/>
  <c r="FM43" i="2"/>
  <c r="FL43" i="2"/>
  <c r="FK43" i="2"/>
  <c r="FJ43" i="2"/>
  <c r="FI43" i="2"/>
  <c r="FH43" i="2"/>
  <c r="FG43" i="2"/>
  <c r="FF43" i="2"/>
  <c r="DS43" i="2"/>
  <c r="BK43" i="2"/>
  <c r="CY43" i="2" s="1"/>
  <c r="HG42" i="2"/>
  <c r="HF42" i="2"/>
  <c r="FQ42" i="2"/>
  <c r="FP42" i="2"/>
  <c r="FO42" i="2"/>
  <c r="FN42" i="2"/>
  <c r="FM42" i="2"/>
  <c r="FL42" i="2"/>
  <c r="FK42" i="2"/>
  <c r="FJ42" i="2"/>
  <c r="FI42" i="2"/>
  <c r="FH42" i="2"/>
  <c r="FG42" i="2"/>
  <c r="FF42" i="2"/>
  <c r="FR42" i="2" s="1"/>
  <c r="DS42" i="2"/>
  <c r="CE42" i="2"/>
  <c r="BK42" i="2"/>
  <c r="EM42" i="2" s="1"/>
  <c r="HG41" i="2"/>
  <c r="HF41" i="2" s="1"/>
  <c r="CY41" i="2"/>
  <c r="CE41" i="2"/>
  <c r="BK41" i="2"/>
  <c r="EM41" i="2" s="1"/>
  <c r="HG40" i="2"/>
  <c r="HF40" i="2" s="1"/>
  <c r="FQ40" i="2"/>
  <c r="FP40" i="2"/>
  <c r="FO40" i="2"/>
  <c r="FN40" i="2"/>
  <c r="FM40" i="2"/>
  <c r="FL40" i="2"/>
  <c r="FK40" i="2"/>
  <c r="FJ40" i="2"/>
  <c r="FI40" i="2"/>
  <c r="FH40" i="2"/>
  <c r="FG40" i="2"/>
  <c r="FF40" i="2"/>
  <c r="CE40" i="2"/>
  <c r="BK40" i="2"/>
  <c r="EM40" i="2" s="1"/>
  <c r="HG39" i="2"/>
  <c r="HF39" i="2" s="1"/>
  <c r="FQ39" i="2"/>
  <c r="FP39" i="2"/>
  <c r="FO39" i="2"/>
  <c r="FN39" i="2"/>
  <c r="FM39" i="2"/>
  <c r="FL39" i="2"/>
  <c r="FK39" i="2"/>
  <c r="FJ39" i="2"/>
  <c r="FI39" i="2"/>
  <c r="FH39" i="2"/>
  <c r="FG39" i="2"/>
  <c r="FF39" i="2"/>
  <c r="FR39" i="2" s="1"/>
  <c r="EM39" i="2"/>
  <c r="BK39" i="2"/>
  <c r="HG38" i="2"/>
  <c r="HF38" i="2" s="1"/>
  <c r="FQ38" i="2"/>
  <c r="FP38" i="2"/>
  <c r="FO38" i="2"/>
  <c r="FN38" i="2"/>
  <c r="FM38" i="2"/>
  <c r="FL38" i="2"/>
  <c r="FK38" i="2"/>
  <c r="FJ38" i="2"/>
  <c r="FI38" i="2"/>
  <c r="FH38" i="2"/>
  <c r="FG38" i="2"/>
  <c r="FF38" i="2"/>
  <c r="DS38" i="2"/>
  <c r="CY38" i="2"/>
  <c r="BK38" i="2"/>
  <c r="CE38" i="2" s="1"/>
  <c r="HG37" i="2"/>
  <c r="HF37" i="2" s="1"/>
  <c r="FQ37" i="2"/>
  <c r="FP37" i="2"/>
  <c r="FO37" i="2"/>
  <c r="FN37" i="2"/>
  <c r="FM37" i="2"/>
  <c r="FL37" i="2"/>
  <c r="FK37" i="2"/>
  <c r="FJ37" i="2"/>
  <c r="FI37" i="2"/>
  <c r="FH37" i="2"/>
  <c r="FG37" i="2"/>
  <c r="FF37" i="2"/>
  <c r="FR37" i="2" s="1"/>
  <c r="BK37" i="2"/>
  <c r="HG36" i="2"/>
  <c r="HF36" i="2"/>
  <c r="GZ36" i="2"/>
  <c r="FQ36" i="2"/>
  <c r="FP36" i="2"/>
  <c r="FO36" i="2"/>
  <c r="FN36" i="2"/>
  <c r="FM36" i="2"/>
  <c r="FL36" i="2"/>
  <c r="FK36" i="2"/>
  <c r="FJ36" i="2"/>
  <c r="FI36" i="2"/>
  <c r="FH36" i="2"/>
  <c r="FG36" i="2"/>
  <c r="FF36" i="2"/>
  <c r="FR36" i="2" s="1"/>
  <c r="CE36" i="2"/>
  <c r="BK36" i="2"/>
  <c r="EM36" i="2" s="1"/>
  <c r="HG35" i="2"/>
  <c r="HF35" i="2" s="1"/>
  <c r="GY35" i="2"/>
  <c r="GX35" i="2"/>
  <c r="GW35" i="2"/>
  <c r="GV35" i="2"/>
  <c r="GU35" i="2"/>
  <c r="GT35" i="2"/>
  <c r="GS35" i="2"/>
  <c r="GR35" i="2"/>
  <c r="GQ35" i="2"/>
  <c r="GP35" i="2"/>
  <c r="GO35" i="2"/>
  <c r="GN35" i="2"/>
  <c r="GI35" i="2"/>
  <c r="GE35" i="2"/>
  <c r="BK35" i="2"/>
  <c r="HG34" i="2"/>
  <c r="HF34" i="2" s="1"/>
  <c r="GI34" i="2"/>
  <c r="GE34" i="2"/>
  <c r="FQ34" i="2"/>
  <c r="FP34" i="2"/>
  <c r="FO34" i="2"/>
  <c r="FN34" i="2"/>
  <c r="FM34" i="2"/>
  <c r="FL34" i="2"/>
  <c r="FK34" i="2"/>
  <c r="FJ34" i="2"/>
  <c r="FI34" i="2"/>
  <c r="FH34" i="2"/>
  <c r="FG34" i="2"/>
  <c r="FF34" i="2"/>
  <c r="CE34" i="2"/>
  <c r="BK34" i="2"/>
  <c r="EM34" i="2" s="1"/>
  <c r="IL33" i="2"/>
  <c r="HG33" i="2"/>
  <c r="HF33" i="2"/>
  <c r="GI33" i="2"/>
  <c r="GE33" i="2"/>
  <c r="BK33" i="2"/>
  <c r="CE33" i="2" s="1"/>
  <c r="HG32" i="2"/>
  <c r="HF32" i="2"/>
  <c r="GZ32" i="2"/>
  <c r="GI32" i="2"/>
  <c r="GE32" i="2"/>
  <c r="DS32" i="2"/>
  <c r="CY32" i="2"/>
  <c r="BK32" i="2"/>
  <c r="CE32" i="2" s="1"/>
  <c r="ID31" i="2"/>
  <c r="HN31" i="2"/>
  <c r="HG31" i="2"/>
  <c r="HF31" i="2"/>
  <c r="GX31" i="2"/>
  <c r="GW31" i="2"/>
  <c r="GV31" i="2"/>
  <c r="GT31" i="2"/>
  <c r="GS31" i="2"/>
  <c r="GR31" i="2"/>
  <c r="GP31" i="2"/>
  <c r="GO31" i="2"/>
  <c r="DS31" i="2"/>
  <c r="CY31" i="2"/>
  <c r="BK31" i="2"/>
  <c r="CE31" i="2" s="1"/>
  <c r="HG30" i="2"/>
  <c r="HF30" i="2" s="1"/>
  <c r="GY30" i="2"/>
  <c r="GX30" i="2"/>
  <c r="GW30" i="2"/>
  <c r="GV30" i="2"/>
  <c r="GU30" i="2"/>
  <c r="GT30" i="2"/>
  <c r="GS30" i="2"/>
  <c r="GR30" i="2"/>
  <c r="GQ30" i="2"/>
  <c r="GP30" i="2"/>
  <c r="GO30" i="2"/>
  <c r="GN30" i="2"/>
  <c r="EM30" i="2"/>
  <c r="DS30" i="2"/>
  <c r="BK30" i="2"/>
  <c r="HG29" i="2"/>
  <c r="HF29" i="2"/>
  <c r="GY29" i="2"/>
  <c r="GX29" i="2"/>
  <c r="GV29" i="2"/>
  <c r="GU29" i="2"/>
  <c r="GT29" i="2"/>
  <c r="GR29" i="2"/>
  <c r="GQ29" i="2"/>
  <c r="GP29" i="2"/>
  <c r="GN29" i="2"/>
  <c r="CY29" i="2"/>
  <c r="BK29" i="2"/>
  <c r="HG28" i="2"/>
  <c r="HF28" i="2" s="1"/>
  <c r="EM28" i="2"/>
  <c r="BK28" i="2"/>
  <c r="HG27" i="2"/>
  <c r="HF27" i="2"/>
  <c r="GY27" i="2"/>
  <c r="GX27" i="2"/>
  <c r="GW27" i="2"/>
  <c r="GV27" i="2"/>
  <c r="GU27" i="2"/>
  <c r="GT27" i="2"/>
  <c r="GS27" i="2"/>
  <c r="GR27" i="2"/>
  <c r="GQ27" i="2"/>
  <c r="GP27" i="2"/>
  <c r="GO27" i="2"/>
  <c r="GN27" i="2"/>
  <c r="GZ27" i="2" s="1"/>
  <c r="DS27" i="2"/>
  <c r="CY27" i="2"/>
  <c r="BK27" i="2"/>
  <c r="CE27" i="2" s="1"/>
  <c r="HG26" i="2"/>
  <c r="HF26" i="2" s="1"/>
  <c r="GY26" i="2"/>
  <c r="GX26" i="2"/>
  <c r="GW26" i="2"/>
  <c r="GV26" i="2"/>
  <c r="GU26" i="2"/>
  <c r="GT26" i="2"/>
  <c r="GS26" i="2"/>
  <c r="GR26" i="2"/>
  <c r="GQ26" i="2"/>
  <c r="GP26" i="2"/>
  <c r="GO26" i="2"/>
  <c r="GN26" i="2"/>
  <c r="GZ26" i="2" s="1"/>
  <c r="DS26" i="2"/>
  <c r="CY26" i="2"/>
  <c r="BK26" i="2"/>
  <c r="CE26" i="2" s="1"/>
  <c r="AJ26" i="2"/>
  <c r="AK26" i="2" s="1"/>
  <c r="AE26" i="2"/>
  <c r="AE27" i="2" s="1"/>
  <c r="AE28" i="2" s="1"/>
  <c r="IL25" i="2"/>
  <c r="HG25" i="2"/>
  <c r="HF25" i="2" s="1"/>
  <c r="GY25" i="2"/>
  <c r="GX25" i="2"/>
  <c r="GW25" i="2"/>
  <c r="GU25" i="2"/>
  <c r="GT25" i="2"/>
  <c r="GS25" i="2"/>
  <c r="GQ25" i="2"/>
  <c r="GP25" i="2"/>
  <c r="GO25" i="2"/>
  <c r="CY25" i="2"/>
  <c r="CE25" i="2"/>
  <c r="BK25" i="2"/>
  <c r="EM25" i="2" s="1"/>
  <c r="AD25" i="2"/>
  <c r="HG24" i="2"/>
  <c r="HF24" i="2" s="1"/>
  <c r="DS24" i="2"/>
  <c r="CY24" i="2"/>
  <c r="BK24" i="2"/>
  <c r="CE24" i="2" s="1"/>
  <c r="IL23" i="2"/>
  <c r="HK23" i="2"/>
  <c r="HK25" i="2" s="1"/>
  <c r="HG23" i="2"/>
  <c r="HF23" i="2" s="1"/>
  <c r="GY23" i="2"/>
  <c r="GX23" i="2"/>
  <c r="GW23" i="2"/>
  <c r="GV23" i="2"/>
  <c r="GU23" i="2"/>
  <c r="GT23" i="2"/>
  <c r="GS23" i="2"/>
  <c r="GR23" i="2"/>
  <c r="GQ23" i="2"/>
  <c r="GP23" i="2"/>
  <c r="GO23" i="2"/>
  <c r="GN23" i="2"/>
  <c r="GZ23" i="2" s="1"/>
  <c r="HB23" i="2" s="1"/>
  <c r="DS23" i="2"/>
  <c r="CY23" i="2"/>
  <c r="BK23" i="2"/>
  <c r="CE23" i="2" s="1"/>
  <c r="HG22" i="2"/>
  <c r="HF22" i="2"/>
  <c r="GY22" i="2"/>
  <c r="GX22" i="2"/>
  <c r="GW22" i="2"/>
  <c r="GV22" i="2"/>
  <c r="GU22" i="2"/>
  <c r="GT22" i="2"/>
  <c r="GS22" i="2"/>
  <c r="GR22" i="2"/>
  <c r="GQ22" i="2"/>
  <c r="GP22" i="2"/>
  <c r="GO22" i="2"/>
  <c r="GN22" i="2"/>
  <c r="GZ22" i="2" s="1"/>
  <c r="DS22" i="2"/>
  <c r="BK22" i="2"/>
  <c r="CY22" i="2" s="1"/>
  <c r="IK21" i="2"/>
  <c r="IJ21" i="2" s="1"/>
  <c r="II21" i="2"/>
  <c r="IH21" i="2"/>
  <c r="IG21" i="2"/>
  <c r="IF21" i="2" s="1"/>
  <c r="IE21" i="2"/>
  <c r="ID21" i="2"/>
  <c r="IC21" i="2"/>
  <c r="IB21" i="2" s="1"/>
  <c r="IA21" i="2"/>
  <c r="HZ21" i="2"/>
  <c r="HY21" i="2"/>
  <c r="HX21" i="2" s="1"/>
  <c r="HW21" i="2"/>
  <c r="HV21" i="2"/>
  <c r="HU21" i="2"/>
  <c r="HT21" i="2" s="1"/>
  <c r="HS21" i="2"/>
  <c r="HR21" i="2"/>
  <c r="HQ21" i="2"/>
  <c r="HP21" i="2" s="1"/>
  <c r="IL21" i="2" s="1"/>
  <c r="HO21" i="2"/>
  <c r="HN21" i="2"/>
  <c r="HG21" i="2"/>
  <c r="HF21" i="2" s="1"/>
  <c r="GY21" i="2"/>
  <c r="GX21" i="2"/>
  <c r="GW21" i="2"/>
  <c r="GV21" i="2"/>
  <c r="GU21" i="2"/>
  <c r="GT21" i="2"/>
  <c r="GS21" i="2"/>
  <c r="GR21" i="2"/>
  <c r="GQ21" i="2"/>
  <c r="GP21" i="2"/>
  <c r="GO21" i="2"/>
  <c r="GN21" i="2"/>
  <c r="GZ21" i="2" s="1"/>
  <c r="CY21" i="2"/>
  <c r="CE21" i="2"/>
  <c r="BK21" i="2"/>
  <c r="EM21" i="2" s="1"/>
  <c r="BC21" i="2"/>
  <c r="BD21" i="2" s="1"/>
  <c r="BB21" i="2"/>
  <c r="BA21" i="2"/>
  <c r="HG20" i="2"/>
  <c r="HF20" i="2"/>
  <c r="BK20" i="2"/>
  <c r="EM20" i="2" s="1"/>
  <c r="AP20" i="2"/>
  <c r="AO20" i="2" s="1"/>
  <c r="AN20" i="2" s="1"/>
  <c r="HG19" i="2"/>
  <c r="HF19" i="2" s="1"/>
  <c r="FW19" i="2"/>
  <c r="FW50" i="2" s="1"/>
  <c r="FQ19" i="2"/>
  <c r="IJ31" i="2" s="1"/>
  <c r="FP19" i="2"/>
  <c r="IH31" i="2" s="1"/>
  <c r="II31" i="2" s="1"/>
  <c r="FO19" i="2"/>
  <c r="IF31" i="2" s="1"/>
  <c r="FN19" i="2"/>
  <c r="FM19" i="2"/>
  <c r="IB31" i="2" s="1"/>
  <c r="FL19" i="2"/>
  <c r="HZ31" i="2" s="1"/>
  <c r="IA31" i="2" s="1"/>
  <c r="FK19" i="2"/>
  <c r="HX31" i="2" s="1"/>
  <c r="FJ19" i="2"/>
  <c r="HV31" i="2" s="1"/>
  <c r="FI19" i="2"/>
  <c r="HT31" i="2" s="1"/>
  <c r="FH19" i="2"/>
  <c r="HR31" i="2" s="1"/>
  <c r="HS31" i="2" s="1"/>
  <c r="FG19" i="2"/>
  <c r="HP31" i="2" s="1"/>
  <c r="FF19" i="2"/>
  <c r="FR19" i="2" s="1"/>
  <c r="CY19" i="2"/>
  <c r="CE19" i="2"/>
  <c r="BK19" i="2"/>
  <c r="EM19" i="2" s="1"/>
  <c r="HG18" i="2"/>
  <c r="HF18" i="2" s="1"/>
  <c r="GZ18" i="2"/>
  <c r="BK18" i="2"/>
  <c r="EM18" i="2" s="1"/>
  <c r="HG17" i="2"/>
  <c r="HF17" i="2" s="1"/>
  <c r="EM17" i="2"/>
  <c r="BK17" i="2"/>
  <c r="HG16" i="2"/>
  <c r="HF16" i="2"/>
  <c r="EM16" i="2"/>
  <c r="DS16" i="2"/>
  <c r="BK16" i="2"/>
  <c r="AP16" i="2"/>
  <c r="AO16" i="2" s="1"/>
  <c r="HG15" i="2"/>
  <c r="HF15" i="2" s="1"/>
  <c r="EM15" i="2"/>
  <c r="DS15" i="2"/>
  <c r="BK15" i="2"/>
  <c r="GZ14" i="2"/>
  <c r="BK14" i="2"/>
  <c r="IL13" i="2"/>
  <c r="GY13" i="2"/>
  <c r="GX13" i="2"/>
  <c r="GW13" i="2"/>
  <c r="GV13" i="2"/>
  <c r="GU13" i="2"/>
  <c r="GT13" i="2"/>
  <c r="GS13" i="2"/>
  <c r="GR13" i="2"/>
  <c r="GQ13" i="2"/>
  <c r="GP13" i="2"/>
  <c r="GO13" i="2"/>
  <c r="GN13" i="2"/>
  <c r="DS13" i="2"/>
  <c r="CE13" i="2"/>
  <c r="BK13" i="2"/>
  <c r="EM13" i="2" s="1"/>
  <c r="AP13" i="2"/>
  <c r="AO13" i="2" s="1"/>
  <c r="BK12" i="2"/>
  <c r="IK11" i="2"/>
  <c r="IJ9" i="2" s="1"/>
  <c r="II11" i="2"/>
  <c r="IG11" i="2"/>
  <c r="IE11" i="2"/>
  <c r="IC11" i="2"/>
  <c r="IB11" i="2"/>
  <c r="IA11" i="2"/>
  <c r="HY11" i="2"/>
  <c r="HW11" i="2"/>
  <c r="HU11" i="2"/>
  <c r="HT9" i="2" s="1"/>
  <c r="HS11" i="2"/>
  <c r="HQ11" i="2"/>
  <c r="HO11" i="2"/>
  <c r="CY11" i="2"/>
  <c r="CE11" i="2"/>
  <c r="BK11" i="2"/>
  <c r="EM11" i="2" s="1"/>
  <c r="DS10" i="2"/>
  <c r="BK10" i="2"/>
  <c r="EM10" i="2" s="1"/>
  <c r="AD10" i="2"/>
  <c r="W10" i="2"/>
  <c r="IH9" i="2"/>
  <c r="II25" i="2" s="1"/>
  <c r="IF9" i="2"/>
  <c r="ID9" i="2"/>
  <c r="IB9" i="2"/>
  <c r="HZ9" i="2"/>
  <c r="IA25" i="2" s="1"/>
  <c r="HX9" i="2"/>
  <c r="HX11" i="2" s="1"/>
  <c r="HV9" i="2"/>
  <c r="HR9" i="2"/>
  <c r="HS25" i="2" s="1"/>
  <c r="HP9" i="2"/>
  <c r="HN9" i="2"/>
  <c r="HI9" i="2"/>
  <c r="FF383" i="2" s="1"/>
  <c r="HG9" i="2"/>
  <c r="HF9" i="2"/>
  <c r="GZ9" i="2"/>
  <c r="GL9" i="2"/>
  <c r="GL11" i="2" s="1"/>
  <c r="GL12" i="2" s="1"/>
  <c r="GL13" i="2" s="1"/>
  <c r="GL14" i="2" s="1"/>
  <c r="GL16" i="2" s="1"/>
  <c r="GL17" i="2" s="1"/>
  <c r="GL18" i="2" s="1"/>
  <c r="GL20" i="2" s="1"/>
  <c r="GL21" i="2" s="1"/>
  <c r="GL22" i="2" s="1"/>
  <c r="GL23" i="2" s="1"/>
  <c r="GL24" i="2" s="1"/>
  <c r="GL25" i="2" s="1"/>
  <c r="GL26" i="2" s="1"/>
  <c r="GL27" i="2" s="1"/>
  <c r="GL28" i="2" s="1"/>
  <c r="GL29" i="2" s="1"/>
  <c r="GL30" i="2" s="1"/>
  <c r="GL31" i="2" s="1"/>
  <c r="GL32" i="2" s="1"/>
  <c r="GL34" i="2" s="1"/>
  <c r="GL35" i="2" s="1"/>
  <c r="GL36" i="2" s="1"/>
  <c r="GL38" i="2" s="1"/>
  <c r="BK9" i="2"/>
  <c r="CE9" i="2" s="1"/>
  <c r="AP9" i="2"/>
  <c r="AO9" i="2" s="1"/>
  <c r="AD9" i="2"/>
  <c r="W9" i="2"/>
  <c r="IJ8" i="2"/>
  <c r="IH8" i="2"/>
  <c r="IF8" i="2"/>
  <c r="ID8" i="2"/>
  <c r="IB8" i="2"/>
  <c r="HZ8" i="2"/>
  <c r="HX8" i="2"/>
  <c r="HV8" i="2"/>
  <c r="HT8" i="2"/>
  <c r="HR8" i="2"/>
  <c r="HP8" i="2"/>
  <c r="HN8" i="2"/>
  <c r="IL8" i="2" s="1"/>
  <c r="HH8" i="2"/>
  <c r="GZ8" i="2"/>
  <c r="GL8" i="2"/>
  <c r="BK8" i="2"/>
  <c r="EM8" i="2" s="1"/>
  <c r="AP8" i="2"/>
  <c r="AO8" i="2" s="1"/>
  <c r="AD8" i="2"/>
  <c r="IJ7" i="2"/>
  <c r="IK7" i="2" s="1"/>
  <c r="II7" i="2"/>
  <c r="IH7" i="2"/>
  <c r="IF7" i="2"/>
  <c r="IG7" i="2" s="1"/>
  <c r="IE7" i="2"/>
  <c r="ID7" i="2"/>
  <c r="IB7" i="2"/>
  <c r="IC7" i="2" s="1"/>
  <c r="IA7" i="2"/>
  <c r="HZ7" i="2"/>
  <c r="HX7" i="2"/>
  <c r="HY7" i="2" s="1"/>
  <c r="HW7" i="2"/>
  <c r="HV7" i="2"/>
  <c r="HT7" i="2"/>
  <c r="HU7" i="2" s="1"/>
  <c r="HS7" i="2"/>
  <c r="HR7" i="2"/>
  <c r="HP7" i="2"/>
  <c r="HQ7" i="2" s="1"/>
  <c r="HO7" i="2"/>
  <c r="HN7" i="2"/>
  <c r="IL7" i="2" s="1"/>
  <c r="HH7" i="2"/>
  <c r="ER7" i="2"/>
  <c r="DX7" i="2"/>
  <c r="DD7" i="2"/>
  <c r="CJ7" i="2"/>
  <c r="BP7" i="2"/>
  <c r="AY7" i="2"/>
  <c r="AY23" i="2" s="1"/>
  <c r="HH6" i="2"/>
  <c r="HH9" i="2" s="1"/>
  <c r="AY6" i="2"/>
  <c r="AY22" i="2" s="1"/>
  <c r="AR6" i="2"/>
  <c r="AP6" i="2"/>
  <c r="AO6" i="2" s="1"/>
  <c r="IJ5" i="2"/>
  <c r="IH5" i="2"/>
  <c r="IF5" i="2"/>
  <c r="ID5" i="2"/>
  <c r="IB5" i="2"/>
  <c r="HZ5" i="2"/>
  <c r="HX5" i="2"/>
  <c r="HV5" i="2"/>
  <c r="HT5" i="2"/>
  <c r="HR5" i="2"/>
  <c r="HP5" i="2"/>
  <c r="HN5" i="2"/>
  <c r="BN5" i="2"/>
  <c r="BA5" i="2"/>
  <c r="BB5" i="2" s="1"/>
  <c r="BC5" i="2" s="1"/>
  <c r="BD5" i="2" s="1"/>
  <c r="GO4" i="2"/>
  <c r="GI4" i="2"/>
  <c r="GE4" i="2"/>
  <c r="X4" i="2"/>
  <c r="GI3" i="2"/>
  <c r="GE3" i="2"/>
  <c r="GI2" i="2"/>
  <c r="GE2" i="2"/>
  <c r="GI1" i="2"/>
  <c r="GE1" i="2"/>
  <c r="AR1" i="2"/>
  <c r="BN8" i="2" l="1"/>
  <c r="AN6" i="2"/>
  <c r="HU33" i="2"/>
  <c r="HU25" i="2"/>
  <c r="HU23" i="2"/>
  <c r="HT11" i="2"/>
  <c r="HU13" i="2"/>
  <c r="IM21" i="2"/>
  <c r="AN13" i="2"/>
  <c r="BN15" i="2"/>
  <c r="BN11" i="2"/>
  <c r="AN9" i="2"/>
  <c r="IK33" i="2"/>
  <c r="IK25" i="2"/>
  <c r="IJ11" i="2"/>
  <c r="IK13" i="2"/>
  <c r="IK23" i="2"/>
  <c r="HE107" i="2"/>
  <c r="HK10" i="2"/>
  <c r="BN10" i="2"/>
  <c r="AN8" i="2"/>
  <c r="HQ33" i="2"/>
  <c r="HQ25" i="2"/>
  <c r="HQ23" i="2"/>
  <c r="HQ13" i="2"/>
  <c r="IG33" i="2"/>
  <c r="IG25" i="2"/>
  <c r="IG23" i="2"/>
  <c r="IG13" i="2"/>
  <c r="HP11" i="2"/>
  <c r="IF11" i="2"/>
  <c r="CY12" i="2"/>
  <c r="CE12" i="2"/>
  <c r="DS14" i="2"/>
  <c r="CY14" i="2"/>
  <c r="BN18" i="2"/>
  <c r="AN16" i="2"/>
  <c r="AR96" i="2"/>
  <c r="AR97" i="2"/>
  <c r="AP96" i="2"/>
  <c r="AO96" i="2" s="1"/>
  <c r="AN96" i="2" s="1"/>
  <c r="AM96" i="2" s="1"/>
  <c r="AR98" i="2"/>
  <c r="AP98" i="2"/>
  <c r="AO98" i="2" s="1"/>
  <c r="AN98" i="2" s="1"/>
  <c r="AM98" i="2" s="1"/>
  <c r="AP95" i="2"/>
  <c r="AO95" i="2" s="1"/>
  <c r="AN95" i="2" s="1"/>
  <c r="AM95" i="2" s="1"/>
  <c r="AP93" i="2"/>
  <c r="AO93" i="2" s="1"/>
  <c r="AN93" i="2" s="1"/>
  <c r="AM93" i="2" s="1"/>
  <c r="AR92" i="2"/>
  <c r="AP92" i="2"/>
  <c r="AO92" i="2" s="1"/>
  <c r="AN92" i="2" s="1"/>
  <c r="AM92" i="2" s="1"/>
  <c r="AR91" i="2"/>
  <c r="AP97" i="2"/>
  <c r="AO97" i="2" s="1"/>
  <c r="AN97" i="2" s="1"/>
  <c r="AM97" i="2" s="1"/>
  <c r="AR94" i="2"/>
  <c r="AP88" i="2"/>
  <c r="AO88" i="2" s="1"/>
  <c r="AN88" i="2" s="1"/>
  <c r="AM88" i="2" s="1"/>
  <c r="AP87" i="2"/>
  <c r="AO87" i="2" s="1"/>
  <c r="AN87" i="2" s="1"/>
  <c r="AM87" i="2" s="1"/>
  <c r="AR85" i="2"/>
  <c r="AP84" i="2"/>
  <c r="AO84" i="2" s="1"/>
  <c r="AN84" i="2" s="1"/>
  <c r="AM84" i="2" s="1"/>
  <c r="AR83" i="2"/>
  <c r="AR82" i="2"/>
  <c r="AR81" i="2"/>
  <c r="AP94" i="2"/>
  <c r="AO94" i="2" s="1"/>
  <c r="AN94" i="2" s="1"/>
  <c r="AM94" i="2" s="1"/>
  <c r="AR89" i="2"/>
  <c r="AP85" i="2"/>
  <c r="AO85" i="2" s="1"/>
  <c r="AN85" i="2" s="1"/>
  <c r="AM85" i="2" s="1"/>
  <c r="AP83" i="2"/>
  <c r="AO83" i="2" s="1"/>
  <c r="AN83" i="2" s="1"/>
  <c r="AM83" i="2" s="1"/>
  <c r="AP82" i="2"/>
  <c r="AO82" i="2" s="1"/>
  <c r="AN82" i="2" s="1"/>
  <c r="AM82" i="2" s="1"/>
  <c r="AP81" i="2"/>
  <c r="AO81" i="2" s="1"/>
  <c r="AN81" i="2" s="1"/>
  <c r="AM81" i="2" s="1"/>
  <c r="AR90" i="2"/>
  <c r="AP89" i="2"/>
  <c r="AO89" i="2" s="1"/>
  <c r="AN89" i="2" s="1"/>
  <c r="AM89" i="2" s="1"/>
  <c r="AR86" i="2"/>
  <c r="AR95" i="2"/>
  <c r="AR88" i="2"/>
  <c r="AR93" i="2"/>
  <c r="AP91" i="2"/>
  <c r="AO91" i="2" s="1"/>
  <c r="AN91" i="2" s="1"/>
  <c r="AM91" i="2" s="1"/>
  <c r="AP86" i="2"/>
  <c r="AO86" i="2" s="1"/>
  <c r="AN86" i="2" s="1"/>
  <c r="AM86" i="2" s="1"/>
  <c r="AP80" i="2"/>
  <c r="AO80" i="2" s="1"/>
  <c r="AN80" i="2" s="1"/>
  <c r="AM80" i="2" s="1"/>
  <c r="AP90" i="2"/>
  <c r="AO90" i="2" s="1"/>
  <c r="AN90" i="2" s="1"/>
  <c r="AM90" i="2" s="1"/>
  <c r="AR84" i="2"/>
  <c r="AR78" i="2"/>
  <c r="AR87" i="2"/>
  <c r="AP75" i="2"/>
  <c r="AO75" i="2" s="1"/>
  <c r="AN75" i="2" s="1"/>
  <c r="AM75" i="2" s="1"/>
  <c r="AR74" i="2"/>
  <c r="AR79" i="2"/>
  <c r="AP78" i="2"/>
  <c r="AO78" i="2" s="1"/>
  <c r="AN78" i="2" s="1"/>
  <c r="AM78" i="2" s="1"/>
  <c r="AR77" i="2"/>
  <c r="AP76" i="2"/>
  <c r="AO76" i="2" s="1"/>
  <c r="AN76" i="2" s="1"/>
  <c r="AM76" i="2" s="1"/>
  <c r="AP73" i="2"/>
  <c r="AO73" i="2" s="1"/>
  <c r="AN73" i="2" s="1"/>
  <c r="AM73" i="2" s="1"/>
  <c r="AR70" i="2"/>
  <c r="AR69" i="2"/>
  <c r="AR80" i="2"/>
  <c r="AP79" i="2"/>
  <c r="AO79" i="2" s="1"/>
  <c r="AN79" i="2" s="1"/>
  <c r="AM79" i="2" s="1"/>
  <c r="AP77" i="2"/>
  <c r="AO77" i="2" s="1"/>
  <c r="AN77" i="2" s="1"/>
  <c r="AM77" i="2" s="1"/>
  <c r="AR75" i="2"/>
  <c r="AR72" i="2"/>
  <c r="AP70" i="2"/>
  <c r="AO70" i="2" s="1"/>
  <c r="AN70" i="2" s="1"/>
  <c r="AM70" i="2" s="1"/>
  <c r="AP69" i="2"/>
  <c r="AO69" i="2" s="1"/>
  <c r="AN69" i="2" s="1"/>
  <c r="AM69" i="2" s="1"/>
  <c r="AR68" i="2"/>
  <c r="AR67" i="2"/>
  <c r="AR76" i="2"/>
  <c r="AR71" i="2"/>
  <c r="AP68" i="2"/>
  <c r="AO68" i="2" s="1"/>
  <c r="AN68" i="2" s="1"/>
  <c r="AM68" i="2" s="1"/>
  <c r="AR60" i="2"/>
  <c r="AR59" i="2"/>
  <c r="AR58" i="2"/>
  <c r="AR56" i="2"/>
  <c r="AR73" i="2"/>
  <c r="AP71" i="2"/>
  <c r="AO71" i="2" s="1"/>
  <c r="AN71" i="2" s="1"/>
  <c r="AM71" i="2" s="1"/>
  <c r="AR66" i="2"/>
  <c r="AR64" i="2"/>
  <c r="AR62" i="2"/>
  <c r="AR61" i="2"/>
  <c r="AP60" i="2"/>
  <c r="AO60" i="2" s="1"/>
  <c r="AN60" i="2" s="1"/>
  <c r="AM60" i="2" s="1"/>
  <c r="AP59" i="2"/>
  <c r="AO59" i="2" s="1"/>
  <c r="AN59" i="2" s="1"/>
  <c r="AM59" i="2" s="1"/>
  <c r="AP58" i="2"/>
  <c r="AO58" i="2" s="1"/>
  <c r="AN58" i="2" s="1"/>
  <c r="AM58" i="2" s="1"/>
  <c r="AP56" i="2"/>
  <c r="AO56" i="2" s="1"/>
  <c r="AN56" i="2" s="1"/>
  <c r="AM56" i="2" s="1"/>
  <c r="AP74" i="2"/>
  <c r="AO74" i="2" s="1"/>
  <c r="AN74" i="2" s="1"/>
  <c r="AM74" i="2" s="1"/>
  <c r="AP72" i="2"/>
  <c r="AO72" i="2" s="1"/>
  <c r="AN72" i="2" s="1"/>
  <c r="AM72" i="2" s="1"/>
  <c r="AP66" i="2"/>
  <c r="AO66" i="2" s="1"/>
  <c r="AN66" i="2" s="1"/>
  <c r="AM66" i="2" s="1"/>
  <c r="AR65" i="2"/>
  <c r="AP64" i="2"/>
  <c r="AO64" i="2" s="1"/>
  <c r="AN64" i="2" s="1"/>
  <c r="AM64" i="2" s="1"/>
  <c r="AR63" i="2"/>
  <c r="AP62" i="2"/>
  <c r="AO62" i="2" s="1"/>
  <c r="AN62" i="2" s="1"/>
  <c r="AM62" i="2" s="1"/>
  <c r="AP61" i="2"/>
  <c r="AO61" i="2" s="1"/>
  <c r="AN61" i="2" s="1"/>
  <c r="AM61" i="2" s="1"/>
  <c r="AP63" i="2"/>
  <c r="AO63" i="2" s="1"/>
  <c r="AN63" i="2" s="1"/>
  <c r="AM63" i="2" s="1"/>
  <c r="AP57" i="2"/>
  <c r="AO57" i="2" s="1"/>
  <c r="AN57" i="2" s="1"/>
  <c r="AM57" i="2" s="1"/>
  <c r="AP48" i="2"/>
  <c r="AO48" i="2" s="1"/>
  <c r="AR47" i="2"/>
  <c r="AR41" i="2"/>
  <c r="AR40" i="2"/>
  <c r="AP36" i="2"/>
  <c r="AO36" i="2" s="1"/>
  <c r="AP67" i="2"/>
  <c r="AO67" i="2" s="1"/>
  <c r="AN67" i="2" s="1"/>
  <c r="AM67" i="2" s="1"/>
  <c r="AP47" i="2"/>
  <c r="AO47" i="2" s="1"/>
  <c r="AR46" i="2"/>
  <c r="AR45" i="2"/>
  <c r="AR43" i="2"/>
  <c r="AR42" i="2"/>
  <c r="AP41" i="2"/>
  <c r="AO41" i="2" s="1"/>
  <c r="AP40" i="2"/>
  <c r="AO40" i="2" s="1"/>
  <c r="AR38" i="2"/>
  <c r="AP46" i="2"/>
  <c r="AO46" i="2" s="1"/>
  <c r="AP45" i="2"/>
  <c r="AO45" i="2" s="1"/>
  <c r="AR44" i="2"/>
  <c r="AP43" i="2"/>
  <c r="AO43" i="2" s="1"/>
  <c r="AP42" i="2"/>
  <c r="AO42" i="2" s="1"/>
  <c r="AR39" i="2"/>
  <c r="AP38" i="2"/>
  <c r="AO38" i="2" s="1"/>
  <c r="AR37" i="2"/>
  <c r="AR35" i="2"/>
  <c r="Z35" i="2"/>
  <c r="AR34" i="2"/>
  <c r="Z34" i="2"/>
  <c r="AP65" i="2"/>
  <c r="AO65" i="2" s="1"/>
  <c r="AN65" i="2" s="1"/>
  <c r="AM65" i="2" s="1"/>
  <c r="AR57" i="2"/>
  <c r="Z36" i="2"/>
  <c r="AP35" i="2"/>
  <c r="AO35" i="2" s="1"/>
  <c r="AR48" i="2"/>
  <c r="AP37" i="2"/>
  <c r="AO37" i="2" s="1"/>
  <c r="AR36" i="2"/>
  <c r="AP33" i="2"/>
  <c r="AO33" i="2" s="1"/>
  <c r="AR32" i="2"/>
  <c r="Z32" i="2"/>
  <c r="AR31" i="2"/>
  <c r="Z31" i="2"/>
  <c r="AP39" i="2"/>
  <c r="AO39" i="2" s="1"/>
  <c r="AP34" i="2"/>
  <c r="AO34" i="2" s="1"/>
  <c r="AP32" i="2"/>
  <c r="AO32" i="2" s="1"/>
  <c r="AP31" i="2"/>
  <c r="AO31" i="2" s="1"/>
  <c r="AR30" i="2"/>
  <c r="Z30" i="2"/>
  <c r="AR28" i="2"/>
  <c r="Z28" i="2"/>
  <c r="AR27" i="2"/>
  <c r="AR26" i="2"/>
  <c r="AP25" i="2"/>
  <c r="AO25" i="2" s="1"/>
  <c r="AR24" i="2"/>
  <c r="AR23" i="2"/>
  <c r="AP21" i="2"/>
  <c r="AO21" i="2" s="1"/>
  <c r="AP19" i="2"/>
  <c r="AO19" i="2" s="1"/>
  <c r="AR11" i="2"/>
  <c r="AR33" i="2"/>
  <c r="AP26" i="2"/>
  <c r="AO26" i="2" s="1"/>
  <c r="AP24" i="2"/>
  <c r="AO24" i="2" s="1"/>
  <c r="AP23" i="2"/>
  <c r="AO23" i="2" s="1"/>
  <c r="AR22" i="2"/>
  <c r="AR15" i="2"/>
  <c r="AR13" i="2"/>
  <c r="AR12" i="2"/>
  <c r="AP11" i="2"/>
  <c r="AO11" i="2" s="1"/>
  <c r="AP44" i="2"/>
  <c r="AO44" i="2" s="1"/>
  <c r="AP30" i="2"/>
  <c r="AO30" i="2" s="1"/>
  <c r="AR29" i="2"/>
  <c r="Z29" i="2"/>
  <c r="Z26" i="2"/>
  <c r="Z25" i="2"/>
  <c r="AP22" i="2"/>
  <c r="AO22" i="2" s="1"/>
  <c r="AR20" i="2"/>
  <c r="AR18" i="2"/>
  <c r="AP7" i="2"/>
  <c r="AO7" i="2" s="1"/>
  <c r="CY9" i="2"/>
  <c r="FN257" i="2"/>
  <c r="FJ257" i="2"/>
  <c r="FF257" i="2"/>
  <c r="FQ257" i="2"/>
  <c r="FM257" i="2"/>
  <c r="FI257" i="2"/>
  <c r="FP257" i="2"/>
  <c r="FL257" i="2"/>
  <c r="FH257" i="2"/>
  <c r="FK257" i="2"/>
  <c r="FG257" i="2"/>
  <c r="FO257" i="2"/>
  <c r="IC33" i="2"/>
  <c r="IC25" i="2"/>
  <c r="AR10" i="2"/>
  <c r="CE10" i="2"/>
  <c r="AP12" i="2"/>
  <c r="AO12" i="2" s="1"/>
  <c r="EM12" i="2"/>
  <c r="GZ13" i="2"/>
  <c r="IC13" i="2"/>
  <c r="AP14" i="2"/>
  <c r="AO14" i="2" s="1"/>
  <c r="EM14" i="2"/>
  <c r="HF14" i="2"/>
  <c r="HE108" i="2" s="1"/>
  <c r="AP17" i="2"/>
  <c r="AO17" i="2" s="1"/>
  <c r="AP18" i="2"/>
  <c r="AO18" i="2" s="1"/>
  <c r="CY18" i="2"/>
  <c r="AR19" i="2"/>
  <c r="HW31" i="2"/>
  <c r="Z27" i="2"/>
  <c r="ES58" i="2"/>
  <c r="DY58" i="2"/>
  <c r="DE58" i="2"/>
  <c r="CK58" i="2"/>
  <c r="BQ58" i="2"/>
  <c r="AD27" i="2"/>
  <c r="DS17" i="2"/>
  <c r="CY17" i="2"/>
  <c r="AR7" i="2"/>
  <c r="BQ7" i="2"/>
  <c r="CK7" i="2"/>
  <c r="DE7" i="2"/>
  <c r="DY7" i="2"/>
  <c r="ES7" i="2"/>
  <c r="AY8" i="2"/>
  <c r="AY24" i="2" s="1"/>
  <c r="CE8" i="2"/>
  <c r="DS8" i="2"/>
  <c r="ER58" i="2"/>
  <c r="DX58" i="2"/>
  <c r="DD58" i="2"/>
  <c r="CJ58" i="2"/>
  <c r="BP58" i="2"/>
  <c r="AD26" i="2"/>
  <c r="DS9" i="2"/>
  <c r="HO33" i="2"/>
  <c r="HO25" i="2"/>
  <c r="HN11" i="2"/>
  <c r="HO23" i="2"/>
  <c r="HW33" i="2"/>
  <c r="HW25" i="2"/>
  <c r="HV11" i="2"/>
  <c r="HW23" i="2"/>
  <c r="IE33" i="2"/>
  <c r="IE25" i="2"/>
  <c r="ID11" i="2"/>
  <c r="IE23" i="2"/>
  <c r="IL9" i="2"/>
  <c r="IM7" i="2" s="1"/>
  <c r="CY10" i="2"/>
  <c r="HO13" i="2"/>
  <c r="IE13" i="2"/>
  <c r="AR14" i="2"/>
  <c r="CY15" i="2"/>
  <c r="CE15" i="2"/>
  <c r="CY16" i="2"/>
  <c r="CE16" i="2"/>
  <c r="AR17" i="2"/>
  <c r="HQ31" i="2"/>
  <c r="HY31" i="2"/>
  <c r="IG31" i="2"/>
  <c r="AR21" i="2"/>
  <c r="BN22" i="2"/>
  <c r="FP174" i="2"/>
  <c r="FP348" i="2" s="1"/>
  <c r="FL174" i="2"/>
  <c r="FL348" i="2" s="1"/>
  <c r="FH174" i="2"/>
  <c r="FH348" i="2" s="1"/>
  <c r="FO174" i="2"/>
  <c r="FO348" i="2" s="1"/>
  <c r="FK174" i="2"/>
  <c r="FK348" i="2" s="1"/>
  <c r="FG174" i="2"/>
  <c r="FG348" i="2" s="1"/>
  <c r="FN174" i="2"/>
  <c r="FN348" i="2" s="1"/>
  <c r="FJ174" i="2"/>
  <c r="FJ348" i="2" s="1"/>
  <c r="FF174" i="2"/>
  <c r="FQ174" i="2"/>
  <c r="FQ348" i="2" s="1"/>
  <c r="FM174" i="2"/>
  <c r="FM348" i="2" s="1"/>
  <c r="FI174" i="2"/>
  <c r="FI348" i="2" s="1"/>
  <c r="IM23" i="2"/>
  <c r="AR25" i="2"/>
  <c r="AD11" i="2"/>
  <c r="AE29" i="2"/>
  <c r="AP27" i="2"/>
  <c r="AO27" i="2" s="1"/>
  <c r="AP29" i="2"/>
  <c r="AO29" i="2" s="1"/>
  <c r="HO31" i="2"/>
  <c r="IL31" i="2"/>
  <c r="BM22" i="2"/>
  <c r="AM20" i="2"/>
  <c r="BL22" i="2" s="1"/>
  <c r="AP28" i="2"/>
  <c r="AO28" i="2" s="1"/>
  <c r="IE31" i="2"/>
  <c r="Z33" i="2"/>
  <c r="BN56" i="2"/>
  <c r="CH56" i="2" s="1"/>
  <c r="DB56" i="2" s="1"/>
  <c r="DV56" i="2" s="1"/>
  <c r="EP56" i="2" s="1"/>
  <c r="EQ58" i="2"/>
  <c r="DC58" i="2"/>
  <c r="BO58" i="2"/>
  <c r="DW58" i="2"/>
  <c r="CI58" i="2"/>
  <c r="EM9" i="2"/>
  <c r="HY25" i="2"/>
  <c r="HY23" i="2"/>
  <c r="HY13" i="2"/>
  <c r="HY33" i="2"/>
  <c r="CH5" i="2"/>
  <c r="DB5" i="2" s="1"/>
  <c r="DV5" i="2" s="1"/>
  <c r="EP5" i="2" s="1"/>
  <c r="BO7" i="2"/>
  <c r="CI7" i="2"/>
  <c r="DC7" i="2"/>
  <c r="DW7" i="2"/>
  <c r="EQ7" i="2"/>
  <c r="AR8" i="2"/>
  <c r="CY8" i="2"/>
  <c r="AR9" i="2"/>
  <c r="AR49" i="2" s="1"/>
  <c r="HS33" i="2"/>
  <c r="HS23" i="2"/>
  <c r="HS13" i="2"/>
  <c r="HR11" i="2"/>
  <c r="IA33" i="2"/>
  <c r="IA23" i="2"/>
  <c r="IA13" i="2"/>
  <c r="HZ11" i="2"/>
  <c r="II33" i="2"/>
  <c r="II23" i="2"/>
  <c r="II13" i="2"/>
  <c r="IH11" i="2"/>
  <c r="AP10" i="2"/>
  <c r="AO10" i="2" s="1"/>
  <c r="W11" i="2"/>
  <c r="DS12" i="2"/>
  <c r="HW13" i="2"/>
  <c r="IM13" i="2"/>
  <c r="CE14" i="2"/>
  <c r="AP15" i="2"/>
  <c r="AO15" i="2" s="1"/>
  <c r="AR16" i="2"/>
  <c r="CE17" i="2"/>
  <c r="DS18" i="2"/>
  <c r="CE18" i="2"/>
  <c r="DS20" i="2"/>
  <c r="CY20" i="2"/>
  <c r="CE20" i="2"/>
  <c r="IC23" i="2"/>
  <c r="IM25" i="2"/>
  <c r="FW81" i="2"/>
  <c r="EM22" i="2"/>
  <c r="DS49" i="2"/>
  <c r="CY49" i="2"/>
  <c r="CE49" i="2"/>
  <c r="EM49" i="2"/>
  <c r="DS11" i="2"/>
  <c r="CY13" i="2"/>
  <c r="DS19" i="2"/>
  <c r="HU31" i="2"/>
  <c r="IC31" i="2"/>
  <c r="IK31" i="2"/>
  <c r="FX19" i="2"/>
  <c r="DS21" i="2"/>
  <c r="CE22" i="2"/>
  <c r="EM23" i="2"/>
  <c r="EM24" i="2"/>
  <c r="DS25" i="2"/>
  <c r="EM26" i="2"/>
  <c r="CY28" i="2"/>
  <c r="CE28" i="2"/>
  <c r="GZ30" i="2"/>
  <c r="DS28" i="2"/>
  <c r="DS29" i="2"/>
  <c r="CE29" i="2"/>
  <c r="EM29" i="2"/>
  <c r="CY30" i="2"/>
  <c r="CE30" i="2"/>
  <c r="DS37" i="2"/>
  <c r="CY37" i="2"/>
  <c r="CE37" i="2"/>
  <c r="EM37" i="2"/>
  <c r="EM27" i="2"/>
  <c r="EM31" i="2"/>
  <c r="EM32" i="2"/>
  <c r="DS35" i="2"/>
  <c r="CY35" i="2"/>
  <c r="CE35" i="2"/>
  <c r="GZ35" i="2"/>
  <c r="FR38" i="2"/>
  <c r="FR47" i="2"/>
  <c r="FR48" i="2"/>
  <c r="EM33" i="2"/>
  <c r="DS33" i="2"/>
  <c r="CY33" i="2"/>
  <c r="FR34" i="2"/>
  <c r="EM35" i="2"/>
  <c r="DS39" i="2"/>
  <c r="CY39" i="2"/>
  <c r="CE39" i="2"/>
  <c r="FR40" i="2"/>
  <c r="FR43" i="2"/>
  <c r="DS44" i="2"/>
  <c r="CY44" i="2"/>
  <c r="CE44" i="2"/>
  <c r="EM50" i="2"/>
  <c r="DS63" i="2"/>
  <c r="CY63" i="2"/>
  <c r="CE63" i="2"/>
  <c r="DS76" i="2"/>
  <c r="CE76" i="2"/>
  <c r="EM76" i="2"/>
  <c r="CY76" i="2"/>
  <c r="CY34" i="2"/>
  <c r="CY36" i="2"/>
  <c r="EM38" i="2"/>
  <c r="CY40" i="2"/>
  <c r="DS41" i="2"/>
  <c r="EM43" i="2"/>
  <c r="EM45" i="2"/>
  <c r="EM46" i="2"/>
  <c r="DS47" i="2"/>
  <c r="CY48" i="2"/>
  <c r="CE50" i="2"/>
  <c r="FR57" i="2"/>
  <c r="FR56" i="2"/>
  <c r="FR58" i="2"/>
  <c r="FR60" i="2"/>
  <c r="EM63" i="2"/>
  <c r="DS65" i="2"/>
  <c r="CY65" i="2"/>
  <c r="CE65" i="2"/>
  <c r="DS71" i="2"/>
  <c r="CY71" i="2"/>
  <c r="EM71" i="2"/>
  <c r="CE71" i="2"/>
  <c r="DS34" i="2"/>
  <c r="DS36" i="2"/>
  <c r="DS40" i="2"/>
  <c r="CY42" i="2"/>
  <c r="CE43" i="2"/>
  <c r="CE45" i="2"/>
  <c r="DS48" i="2"/>
  <c r="CY50" i="2"/>
  <c r="FR59" i="2"/>
  <c r="EM62" i="2"/>
  <c r="DS66" i="2"/>
  <c r="CY66" i="2"/>
  <c r="EM66" i="2"/>
  <c r="CY68" i="2"/>
  <c r="CE68" i="2"/>
  <c r="FR72" i="2"/>
  <c r="EM60" i="2"/>
  <c r="EM61" i="2"/>
  <c r="CE62" i="2"/>
  <c r="DS68" i="2"/>
  <c r="HE110" i="2"/>
  <c r="HH80" i="2"/>
  <c r="HK16" i="2" s="1"/>
  <c r="HK18" i="2" s="1"/>
  <c r="CE74" i="2"/>
  <c r="DS74" i="2"/>
  <c r="CY74" i="2"/>
  <c r="FR75" i="2"/>
  <c r="CY59" i="2"/>
  <c r="CY64" i="2"/>
  <c r="EM68" i="2"/>
  <c r="EM72" i="2"/>
  <c r="CY72" i="2"/>
  <c r="CE72" i="2"/>
  <c r="CE73" i="2"/>
  <c r="DS73" i="2"/>
  <c r="CY73" i="2"/>
  <c r="EM74" i="2"/>
  <c r="CY67" i="2"/>
  <c r="EM69" i="2"/>
  <c r="EM70" i="2"/>
  <c r="CE75" i="2"/>
  <c r="DS78" i="2"/>
  <c r="DS86" i="2"/>
  <c r="CY86" i="2"/>
  <c r="CE86" i="2"/>
  <c r="EM86" i="2"/>
  <c r="CY75" i="2"/>
  <c r="DS79" i="2"/>
  <c r="CY79" i="2"/>
  <c r="DS77" i="2"/>
  <c r="CY77" i="2"/>
  <c r="CY78" i="2"/>
  <c r="CE78" i="2"/>
  <c r="CE79" i="2"/>
  <c r="CE80" i="2"/>
  <c r="FR81" i="2"/>
  <c r="FR89" i="2"/>
  <c r="DS90" i="2"/>
  <c r="CY90" i="2"/>
  <c r="CE90" i="2"/>
  <c r="DS80" i="2"/>
  <c r="CY80" i="2"/>
  <c r="HF81" i="2"/>
  <c r="FF84" i="2"/>
  <c r="FJ84" i="2"/>
  <c r="GR25" i="2" s="1"/>
  <c r="FN84" i="2"/>
  <c r="GV25" i="2" s="1"/>
  <c r="FR86" i="2"/>
  <c r="FR92" i="2"/>
  <c r="FR94" i="2"/>
  <c r="DS98" i="2"/>
  <c r="CY98" i="2"/>
  <c r="CE98" i="2"/>
  <c r="EM98" i="2"/>
  <c r="EM89" i="2"/>
  <c r="EM81" i="2"/>
  <c r="DS82" i="2"/>
  <c r="EM83" i="2"/>
  <c r="DS84" i="2"/>
  <c r="DS87" i="2"/>
  <c r="DS88" i="2"/>
  <c r="CE89" i="2"/>
  <c r="CY91" i="2"/>
  <c r="CE91" i="2"/>
  <c r="CY85" i="2"/>
  <c r="DS91" i="2"/>
  <c r="DS94" i="2"/>
  <c r="CY94" i="2"/>
  <c r="CE94" i="2"/>
  <c r="FR97" i="2"/>
  <c r="FR99" i="2"/>
  <c r="EM92" i="2"/>
  <c r="DS93" i="2"/>
  <c r="FR96" i="2"/>
  <c r="EM95" i="2"/>
  <c r="DS95" i="2"/>
  <c r="CY97" i="2"/>
  <c r="CE97" i="2"/>
  <c r="EM97" i="2"/>
  <c r="FR101" i="2"/>
  <c r="EM96" i="2"/>
  <c r="HE112" i="2"/>
  <c r="HH101" i="2"/>
  <c r="FR107" i="2"/>
  <c r="CE100" i="2"/>
  <c r="FR105" i="2"/>
  <c r="FR108" i="2"/>
  <c r="FR132" i="2"/>
  <c r="FR133" i="2"/>
  <c r="FR139" i="2"/>
  <c r="FI147" i="2"/>
  <c r="GQ31" i="2" s="1"/>
  <c r="FM147" i="2"/>
  <c r="GU31" i="2" s="1"/>
  <c r="FQ147" i="2"/>
  <c r="GY31" i="2" s="1"/>
  <c r="FR154" i="2"/>
  <c r="FR137" i="2"/>
  <c r="FG138" i="2"/>
  <c r="GO29" i="2" s="1"/>
  <c r="GZ29" i="2" s="1"/>
  <c r="FK138" i="2"/>
  <c r="GS29" i="2" s="1"/>
  <c r="FO138" i="2"/>
  <c r="GW29" i="2" s="1"/>
  <c r="FR140" i="2"/>
  <c r="FR141" i="2"/>
  <c r="FR145" i="2"/>
  <c r="FR148" i="2"/>
  <c r="FR149" i="2"/>
  <c r="FR151" i="2"/>
  <c r="FR130" i="2"/>
  <c r="FR144" i="2"/>
  <c r="FF147" i="2"/>
  <c r="FR219" i="2"/>
  <c r="FR267" i="2"/>
  <c r="FR286" i="2"/>
  <c r="FR220" i="2"/>
  <c r="FR231" i="2"/>
  <c r="FR238" i="2"/>
  <c r="FR313" i="2"/>
  <c r="FR345" i="2"/>
  <c r="FR347" i="2"/>
  <c r="AR50" i="2" l="1"/>
  <c r="AR51" i="2" s="1"/>
  <c r="AS49" i="2"/>
  <c r="AS6" i="2"/>
  <c r="FR84" i="2"/>
  <c r="GN25" i="2"/>
  <c r="GZ25" i="2" s="1"/>
  <c r="FN175" i="2"/>
  <c r="FN349" i="2" s="1"/>
  <c r="FJ175" i="2"/>
  <c r="FJ349" i="2" s="1"/>
  <c r="FF175" i="2"/>
  <c r="FQ175" i="2"/>
  <c r="FQ349" i="2" s="1"/>
  <c r="FM175" i="2"/>
  <c r="FM349" i="2" s="1"/>
  <c r="FI175" i="2"/>
  <c r="FI349" i="2" s="1"/>
  <c r="FP175" i="2"/>
  <c r="FP349" i="2" s="1"/>
  <c r="FL175" i="2"/>
  <c r="FL349" i="2" s="1"/>
  <c r="FH175" i="2"/>
  <c r="FH349" i="2" s="1"/>
  <c r="GG116" i="2"/>
  <c r="GC116" i="2"/>
  <c r="FY116" i="2"/>
  <c r="FO175" i="2"/>
  <c r="FO349" i="2" s="1"/>
  <c r="FK175" i="2"/>
  <c r="FK349" i="2" s="1"/>
  <c r="FG175" i="2"/>
  <c r="FG349" i="2" s="1"/>
  <c r="GF116" i="2"/>
  <c r="GB116" i="2"/>
  <c r="FX116" i="2"/>
  <c r="GE116" i="2"/>
  <c r="FW116" i="2"/>
  <c r="GA116" i="2"/>
  <c r="GH116" i="2"/>
  <c r="FZ116" i="2"/>
  <c r="GD116" i="2"/>
  <c r="GG85" i="2"/>
  <c r="GC85" i="2"/>
  <c r="FY85" i="2"/>
  <c r="GF85" i="2"/>
  <c r="GB85" i="2"/>
  <c r="FX85" i="2"/>
  <c r="GE85" i="2"/>
  <c r="GA85" i="2"/>
  <c r="FW85" i="2"/>
  <c r="GI85" i="2" s="1"/>
  <c r="GH85" i="2"/>
  <c r="FZ85" i="2"/>
  <c r="GD85" i="2"/>
  <c r="GF54" i="2"/>
  <c r="GE54" i="2"/>
  <c r="GH54" i="2"/>
  <c r="GD54" i="2"/>
  <c r="GG54" i="2"/>
  <c r="GC54" i="2"/>
  <c r="BN12" i="2"/>
  <c r="AN10" i="2"/>
  <c r="AP49" i="2"/>
  <c r="AS21" i="2"/>
  <c r="AS7" i="2"/>
  <c r="FX50" i="2"/>
  <c r="FY19" i="2"/>
  <c r="AS16" i="2"/>
  <c r="BN17" i="2"/>
  <c r="AN15" i="2"/>
  <c r="AS8" i="2"/>
  <c r="HB22" i="2"/>
  <c r="AN27" i="2"/>
  <c r="BN29" i="2"/>
  <c r="FF348" i="2"/>
  <c r="FR348" i="2" s="1"/>
  <c r="FR174" i="2"/>
  <c r="IL11" i="2"/>
  <c r="IM11" i="2" s="1"/>
  <c r="AB27" i="2"/>
  <c r="AG10" i="2" s="1"/>
  <c r="AI10" i="2" s="1"/>
  <c r="X27" i="2"/>
  <c r="X13" i="2" s="1"/>
  <c r="BN20" i="2"/>
  <c r="AN18" i="2"/>
  <c r="AN14" i="2"/>
  <c r="BN16" i="2"/>
  <c r="BN14" i="2"/>
  <c r="AN12" i="2"/>
  <c r="FG255" i="2"/>
  <c r="FG82" i="2"/>
  <c r="FG80" i="2" s="1"/>
  <c r="GO24" i="2" s="1"/>
  <c r="FP255" i="2"/>
  <c r="FP82" i="2"/>
  <c r="FP80" i="2" s="1"/>
  <c r="GX24" i="2" s="1"/>
  <c r="FR257" i="2"/>
  <c r="FF255" i="2"/>
  <c r="FF82" i="2"/>
  <c r="Z37" i="2"/>
  <c r="AB25" i="2"/>
  <c r="X25" i="2"/>
  <c r="BN32" i="2"/>
  <c r="AN30" i="2"/>
  <c r="AS13" i="2"/>
  <c r="BN26" i="2"/>
  <c r="AN24" i="2"/>
  <c r="BN21" i="2"/>
  <c r="AN19" i="2"/>
  <c r="BN27" i="2"/>
  <c r="AN25" i="2"/>
  <c r="AS28" i="2"/>
  <c r="BN34" i="2"/>
  <c r="AN32" i="2"/>
  <c r="AS31" i="2"/>
  <c r="AS36" i="2"/>
  <c r="X36" i="2"/>
  <c r="X10" i="2" s="1"/>
  <c r="AB36" i="2"/>
  <c r="AG19" i="2" s="1"/>
  <c r="AI19" i="2" s="1"/>
  <c r="AS34" i="2"/>
  <c r="AN38" i="2"/>
  <c r="BN40" i="2"/>
  <c r="AS44" i="2"/>
  <c r="BN42" i="2"/>
  <c r="AN40" i="2"/>
  <c r="AS45" i="2"/>
  <c r="AN36" i="2"/>
  <c r="BN38" i="2"/>
  <c r="BN50" i="2"/>
  <c r="AN48" i="2"/>
  <c r="BN65" i="2"/>
  <c r="AS62" i="2"/>
  <c r="BN76" i="2"/>
  <c r="BN63" i="2"/>
  <c r="AS60" i="2"/>
  <c r="BN70" i="2"/>
  <c r="BN75" i="2"/>
  <c r="BN83" i="2"/>
  <c r="BN77" i="2"/>
  <c r="AS74" i="2"/>
  <c r="BN87" i="2"/>
  <c r="BN89" i="2"/>
  <c r="BN97" i="2"/>
  <c r="BN95" i="2"/>
  <c r="AS92" i="2"/>
  <c r="BN101" i="2"/>
  <c r="BM18" i="2"/>
  <c r="AM16" i="2"/>
  <c r="BL18" i="2" s="1"/>
  <c r="BO10" i="2"/>
  <c r="BQ10" i="2"/>
  <c r="BP10" i="2"/>
  <c r="BR10" i="2"/>
  <c r="BO11" i="2"/>
  <c r="BR11" i="2"/>
  <c r="BQ11" i="2"/>
  <c r="BP11" i="2"/>
  <c r="AS9" i="2"/>
  <c r="AS17" i="2"/>
  <c r="DZ58" i="2"/>
  <c r="CL58" i="2"/>
  <c r="ET58" i="2"/>
  <c r="DF58" i="2"/>
  <c r="BR58" i="2"/>
  <c r="AD28" i="2"/>
  <c r="W12" i="2"/>
  <c r="AY9" i="2"/>
  <c r="AY25" i="2" s="1"/>
  <c r="ET7" i="2"/>
  <c r="DZ7" i="2"/>
  <c r="DF7" i="2"/>
  <c r="CL7" i="2"/>
  <c r="BR7" i="2"/>
  <c r="GN4" i="2"/>
  <c r="AN28" i="2"/>
  <c r="BN30" i="2"/>
  <c r="IM31" i="2"/>
  <c r="AE30" i="2"/>
  <c r="AD12" i="2"/>
  <c r="BS10" i="2" s="1"/>
  <c r="BQ22" i="2"/>
  <c r="BP22" i="2"/>
  <c r="BO22" i="2"/>
  <c r="BR22" i="2"/>
  <c r="GP4" i="2"/>
  <c r="BN19" i="2"/>
  <c r="AN17" i="2"/>
  <c r="FK255" i="2"/>
  <c r="FK82" i="2"/>
  <c r="FK80" i="2" s="1"/>
  <c r="GS24" i="2" s="1"/>
  <c r="FI255" i="2"/>
  <c r="FI82" i="2"/>
  <c r="FI80" i="2" s="1"/>
  <c r="GQ24" i="2" s="1"/>
  <c r="FJ255" i="2"/>
  <c r="FJ82" i="2"/>
  <c r="FJ80" i="2" s="1"/>
  <c r="GR24" i="2" s="1"/>
  <c r="AN7" i="2"/>
  <c r="BN9" i="2"/>
  <c r="AS18" i="2"/>
  <c r="AB26" i="2"/>
  <c r="AG9" i="2" s="1"/>
  <c r="AI9" i="2" s="1"/>
  <c r="X26" i="2"/>
  <c r="X12" i="2" s="1"/>
  <c r="AN44" i="2"/>
  <c r="BN46" i="2"/>
  <c r="AS15" i="2"/>
  <c r="BN28" i="2"/>
  <c r="AN26" i="2"/>
  <c r="BN23" i="2"/>
  <c r="AN21" i="2"/>
  <c r="AS26" i="2"/>
  <c r="AB30" i="2"/>
  <c r="AG13" i="2" s="1"/>
  <c r="AI13" i="2" s="1"/>
  <c r="X30" i="2"/>
  <c r="X16" i="2" s="1"/>
  <c r="BN36" i="2"/>
  <c r="AN34" i="2"/>
  <c r="X32" i="2"/>
  <c r="X18" i="2" s="1"/>
  <c r="AB32" i="2"/>
  <c r="AG15" i="2" s="1"/>
  <c r="AI15" i="2" s="1"/>
  <c r="BN39" i="2"/>
  <c r="AN37" i="2"/>
  <c r="AS57" i="2"/>
  <c r="BN60" i="2"/>
  <c r="AB35" i="2"/>
  <c r="AG18" i="2" s="1"/>
  <c r="AI18" i="2" s="1"/>
  <c r="X35" i="2"/>
  <c r="X9" i="2" s="1"/>
  <c r="AS39" i="2"/>
  <c r="AN45" i="2"/>
  <c r="BN47" i="2"/>
  <c r="BN43" i="2"/>
  <c r="AN41" i="2"/>
  <c r="AS46" i="2"/>
  <c r="AS40" i="2"/>
  <c r="BN66" i="2"/>
  <c r="BN67" i="2"/>
  <c r="AR99" i="2"/>
  <c r="BN59" i="2"/>
  <c r="BN71" i="2"/>
  <c r="AS68" i="2"/>
  <c r="AS75" i="2"/>
  <c r="BN78" i="2"/>
  <c r="BN72" i="2"/>
  <c r="BN80" i="2"/>
  <c r="BN96" i="2"/>
  <c r="AS93" i="2"/>
  <c r="BN84" i="2"/>
  <c r="BN88" i="2"/>
  <c r="AS85" i="2"/>
  <c r="BR18" i="2"/>
  <c r="BQ18" i="2"/>
  <c r="BP18" i="2"/>
  <c r="BO18" i="2"/>
  <c r="AM6" i="2"/>
  <c r="BM8" i="2"/>
  <c r="AS19" i="2"/>
  <c r="AS10" i="2"/>
  <c r="FH255" i="2"/>
  <c r="FH82" i="2"/>
  <c r="FH80" i="2" s="1"/>
  <c r="GP24" i="2" s="1"/>
  <c r="FM255" i="2"/>
  <c r="FM82" i="2"/>
  <c r="FM80" i="2" s="1"/>
  <c r="GU24" i="2" s="1"/>
  <c r="FN255" i="2"/>
  <c r="FN82" i="2"/>
  <c r="FN80" i="2" s="1"/>
  <c r="GV24" i="2" s="1"/>
  <c r="AS20" i="2"/>
  <c r="AB29" i="2"/>
  <c r="AG12" i="2" s="1"/>
  <c r="AI12" i="2" s="1"/>
  <c r="X29" i="2"/>
  <c r="X15" i="2" s="1"/>
  <c r="BN13" i="2"/>
  <c r="AN11" i="2"/>
  <c r="AS22" i="2"/>
  <c r="AS33" i="2"/>
  <c r="AS23" i="2"/>
  <c r="AS27" i="2"/>
  <c r="AS30" i="2"/>
  <c r="AN39" i="2"/>
  <c r="BN41" i="2"/>
  <c r="AS32" i="2"/>
  <c r="AS48" i="2"/>
  <c r="AS35" i="2"/>
  <c r="BN44" i="2"/>
  <c r="AN42" i="2"/>
  <c r="AN46" i="2"/>
  <c r="BN48" i="2"/>
  <c r="AS42" i="2"/>
  <c r="BN49" i="2"/>
  <c r="AN47" i="2"/>
  <c r="AS41" i="2"/>
  <c r="BN69" i="2"/>
  <c r="AS66" i="2"/>
  <c r="BN61" i="2"/>
  <c r="BN74" i="2"/>
  <c r="AS71" i="2"/>
  <c r="BN73" i="2"/>
  <c r="BN90" i="2"/>
  <c r="AS87" i="2"/>
  <c r="BN91" i="2"/>
  <c r="BN93" i="2"/>
  <c r="AS90" i="2"/>
  <c r="BN85" i="2"/>
  <c r="BN94" i="2"/>
  <c r="AS91" i="2"/>
  <c r="BN100" i="2"/>
  <c r="FN169" i="2"/>
  <c r="FJ169" i="2"/>
  <c r="FF169" i="2"/>
  <c r="FQ169" i="2"/>
  <c r="FM169" i="2"/>
  <c r="FI169" i="2"/>
  <c r="FP169" i="2"/>
  <c r="FL169" i="2"/>
  <c r="FH169" i="2"/>
  <c r="FO169" i="2"/>
  <c r="FK169" i="2"/>
  <c r="FG169" i="2"/>
  <c r="GB54" i="2"/>
  <c r="FX54" i="2"/>
  <c r="GA54" i="2"/>
  <c r="FW54" i="2"/>
  <c r="FZ54" i="2"/>
  <c r="FY54" i="2"/>
  <c r="BQ15" i="2"/>
  <c r="BP15" i="2"/>
  <c r="BO15" i="2"/>
  <c r="BS15" i="2"/>
  <c r="BR15" i="2"/>
  <c r="BO8" i="2"/>
  <c r="BQ8" i="2"/>
  <c r="BP8" i="2"/>
  <c r="BR8" i="2"/>
  <c r="FR147" i="2"/>
  <c r="GN31" i="2"/>
  <c r="GZ31" i="2" s="1"/>
  <c r="FR138" i="2"/>
  <c r="HE111" i="2"/>
  <c r="HH87" i="2"/>
  <c r="AB33" i="2"/>
  <c r="AG16" i="2" s="1"/>
  <c r="AI16" i="2" s="1"/>
  <c r="X33" i="2"/>
  <c r="X19" i="2" s="1"/>
  <c r="HB26" i="2"/>
  <c r="AN29" i="2"/>
  <c r="BN31" i="2"/>
  <c r="AS25" i="2"/>
  <c r="AS14" i="2"/>
  <c r="IM33" i="2"/>
  <c r="FO255" i="2"/>
  <c r="FO82" i="2"/>
  <c r="FO80" i="2" s="1"/>
  <c r="GW24" i="2" s="1"/>
  <c r="FL255" i="2"/>
  <c r="FL82" i="2"/>
  <c r="FL80" i="2" s="1"/>
  <c r="GT24" i="2" s="1"/>
  <c r="FQ255" i="2"/>
  <c r="FQ82" i="2"/>
  <c r="FQ80" i="2" s="1"/>
  <c r="GY24" i="2" s="1"/>
  <c r="AN22" i="2"/>
  <c r="BN24" i="2"/>
  <c r="AS29" i="2"/>
  <c r="AS12" i="2"/>
  <c r="BN25" i="2"/>
  <c r="AN23" i="2"/>
  <c r="AS11" i="2"/>
  <c r="AS24" i="2"/>
  <c r="AB28" i="2"/>
  <c r="AG11" i="2" s="1"/>
  <c r="AI11" i="2" s="1"/>
  <c r="X28" i="2"/>
  <c r="X14" i="2" s="1"/>
  <c r="BN33" i="2"/>
  <c r="AN31" i="2"/>
  <c r="X31" i="2"/>
  <c r="X17" i="2" s="1"/>
  <c r="AB31" i="2"/>
  <c r="AG14" i="2" s="1"/>
  <c r="AI14" i="2" s="1"/>
  <c r="BN35" i="2"/>
  <c r="AN33" i="2"/>
  <c r="BN37" i="2"/>
  <c r="AN35" i="2"/>
  <c r="AB34" i="2"/>
  <c r="AG17" i="2" s="1"/>
  <c r="AI17" i="2" s="1"/>
  <c r="X34" i="2"/>
  <c r="X8" i="2" s="1"/>
  <c r="AS37" i="2"/>
  <c r="AN43" i="2"/>
  <c r="BN45" i="2"/>
  <c r="AS38" i="2"/>
  <c r="AS43" i="2"/>
  <c r="AS47" i="2"/>
  <c r="BN68" i="2"/>
  <c r="AS65" i="2"/>
  <c r="AS61" i="2"/>
  <c r="BN64" i="2"/>
  <c r="BN62" i="2"/>
  <c r="AS59" i="2"/>
  <c r="BN79" i="2"/>
  <c r="BN82" i="2"/>
  <c r="AS79" i="2"/>
  <c r="BN81" i="2"/>
  <c r="BN98" i="2"/>
  <c r="AS95" i="2"/>
  <c r="BN92" i="2"/>
  <c r="BN86" i="2"/>
  <c r="AS83" i="2"/>
  <c r="BN99" i="2"/>
  <c r="AM8" i="2"/>
  <c r="BL10" i="2" s="1"/>
  <c r="BM10" i="2"/>
  <c r="HH88" i="2"/>
  <c r="HH100" i="2" s="1"/>
  <c r="HH102" i="2" s="1"/>
  <c r="AM9" i="2"/>
  <c r="BL11" i="2" s="1"/>
  <c r="BM11" i="2"/>
  <c r="BM15" i="2"/>
  <c r="AM13" i="2"/>
  <c r="BL15" i="2" s="1"/>
  <c r="AO49" i="2"/>
  <c r="BS75" i="2" l="1"/>
  <c r="BO75" i="2"/>
  <c r="BQ75" i="2"/>
  <c r="BM75" i="2"/>
  <c r="BL75" i="2" s="1"/>
  <c r="BP75" i="2"/>
  <c r="BR75" i="2"/>
  <c r="BP42" i="2"/>
  <c r="BS42" i="2"/>
  <c r="BO42" i="2"/>
  <c r="BR42" i="2"/>
  <c r="BQ42" i="2"/>
  <c r="BR32" i="2"/>
  <c r="BP32" i="2"/>
  <c r="BS32" i="2"/>
  <c r="BO32" i="2"/>
  <c r="BQ32" i="2"/>
  <c r="DR62" i="2"/>
  <c r="CX62" i="2"/>
  <c r="CD62" i="2"/>
  <c r="BJ62" i="2"/>
  <c r="EL62" i="2"/>
  <c r="FO343" i="2"/>
  <c r="FO342" i="2" s="1"/>
  <c r="FO341" i="2" s="1"/>
  <c r="FO168" i="2"/>
  <c r="FO167" i="2" s="1"/>
  <c r="FO23" i="2" s="1"/>
  <c r="FI343" i="2"/>
  <c r="FI342" i="2" s="1"/>
  <c r="FI341" i="2" s="1"/>
  <c r="FI168" i="2"/>
  <c r="FI167" i="2" s="1"/>
  <c r="FI23" i="2" s="1"/>
  <c r="FJ343" i="2"/>
  <c r="FJ342" i="2" s="1"/>
  <c r="FJ341" i="2" s="1"/>
  <c r="FJ168" i="2"/>
  <c r="FJ167" i="2" s="1"/>
  <c r="FJ23" i="2" s="1"/>
  <c r="EL94" i="2"/>
  <c r="BJ94" i="2"/>
  <c r="DR94" i="2"/>
  <c r="CX94" i="2"/>
  <c r="CD94" i="2"/>
  <c r="CD93" i="2"/>
  <c r="EL93" i="2"/>
  <c r="BJ93" i="2"/>
  <c r="CX93" i="2"/>
  <c r="DR93" i="2"/>
  <c r="EL90" i="2"/>
  <c r="BJ90" i="2"/>
  <c r="DR90" i="2"/>
  <c r="CX90" i="2"/>
  <c r="CD90" i="2"/>
  <c r="CX74" i="2"/>
  <c r="EL74" i="2"/>
  <c r="BJ74" i="2"/>
  <c r="DR74" i="2"/>
  <c r="CD74" i="2"/>
  <c r="CX69" i="2"/>
  <c r="CD69" i="2"/>
  <c r="EL69" i="2"/>
  <c r="DR69" i="2"/>
  <c r="BJ69" i="2"/>
  <c r="BR49" i="2"/>
  <c r="BQ49" i="2"/>
  <c r="BP49" i="2"/>
  <c r="BO49" i="2"/>
  <c r="BS49" i="2"/>
  <c r="BM44" i="2"/>
  <c r="AM42" i="2"/>
  <c r="BL44" i="2" s="1"/>
  <c r="CD34" i="2"/>
  <c r="EL34" i="2"/>
  <c r="BJ34" i="2"/>
  <c r="DR34" i="2"/>
  <c r="CX34" i="2"/>
  <c r="DR29" i="2"/>
  <c r="DQ29" i="2" s="1"/>
  <c r="CD29" i="2"/>
  <c r="CC29" i="2" s="1"/>
  <c r="EL29" i="2"/>
  <c r="EK29" i="2" s="1"/>
  <c r="BJ29" i="2"/>
  <c r="BI29" i="2" s="1"/>
  <c r="AT27" i="2"/>
  <c r="CX29" i="2"/>
  <c r="CW29" i="2" s="1"/>
  <c r="AM11" i="2"/>
  <c r="BL13" i="2" s="1"/>
  <c r="BM13" i="2"/>
  <c r="DR22" i="2"/>
  <c r="CX22" i="2"/>
  <c r="CD22" i="2"/>
  <c r="BJ22" i="2"/>
  <c r="EL22" i="2"/>
  <c r="CD88" i="2"/>
  <c r="EL88" i="2"/>
  <c r="BJ88" i="2"/>
  <c r="DR88" i="2"/>
  <c r="CX88" i="2"/>
  <c r="CX96" i="2"/>
  <c r="CD96" i="2"/>
  <c r="BJ96" i="2"/>
  <c r="EL96" i="2"/>
  <c r="DR96" i="2"/>
  <c r="BQ72" i="2"/>
  <c r="BM72" i="2"/>
  <c r="BL72" i="2" s="1"/>
  <c r="BP72" i="2"/>
  <c r="BS72" i="2"/>
  <c r="BR72" i="2"/>
  <c r="BO72" i="2"/>
  <c r="EL71" i="2"/>
  <c r="BJ71" i="2"/>
  <c r="DR71" i="2"/>
  <c r="CX71" i="2"/>
  <c r="CD71" i="2"/>
  <c r="AR100" i="2"/>
  <c r="AR101" i="2" s="1"/>
  <c r="AS99" i="2"/>
  <c r="AS63" i="2"/>
  <c r="BQ43" i="2"/>
  <c r="BP43" i="2"/>
  <c r="BS43" i="2"/>
  <c r="BO43" i="2"/>
  <c r="BR43" i="2"/>
  <c r="EX56" i="2"/>
  <c r="BV56" i="2"/>
  <c r="BV5" i="2"/>
  <c r="ED5" i="2"/>
  <c r="DJ5" i="2"/>
  <c r="EX5" i="2"/>
  <c r="CP56" i="2"/>
  <c r="CP5" i="2"/>
  <c r="ED56" i="2"/>
  <c r="DJ56" i="2"/>
  <c r="BM39" i="2"/>
  <c r="AM37" i="2"/>
  <c r="BL39" i="2" s="1"/>
  <c r="BM36" i="2"/>
  <c r="AM34" i="2"/>
  <c r="BL36" i="2" s="1"/>
  <c r="DR28" i="2"/>
  <c r="CX28" i="2"/>
  <c r="EL28" i="2"/>
  <c r="CD28" i="2"/>
  <c r="BJ28" i="2"/>
  <c r="BQ28" i="2"/>
  <c r="BP28" i="2"/>
  <c r="BS28" i="2"/>
  <c r="BR28" i="2"/>
  <c r="BO28" i="2"/>
  <c r="CS56" i="2"/>
  <c r="BY56" i="2"/>
  <c r="BY5" i="2"/>
  <c r="FA5" i="2"/>
  <c r="EG5" i="2"/>
  <c r="DM56" i="2"/>
  <c r="CS5" i="2"/>
  <c r="DM5" i="2"/>
  <c r="FA56" i="2"/>
  <c r="EG56" i="2"/>
  <c r="AM7" i="2"/>
  <c r="BL9" i="2" s="1"/>
  <c r="BM9" i="2"/>
  <c r="BS19" i="2"/>
  <c r="BO19" i="2"/>
  <c r="BR19" i="2"/>
  <c r="BQ19" i="2"/>
  <c r="BP19" i="2"/>
  <c r="AE31" i="2"/>
  <c r="AD13" i="2"/>
  <c r="BT32" i="2" s="1"/>
  <c r="BS95" i="2"/>
  <c r="BO95" i="2"/>
  <c r="BR95" i="2"/>
  <c r="BQ95" i="2"/>
  <c r="BM95" i="2"/>
  <c r="BL95" i="2" s="1"/>
  <c r="BP95" i="2"/>
  <c r="AS86" i="2"/>
  <c r="BR77" i="2"/>
  <c r="BQ77" i="2"/>
  <c r="BP77" i="2"/>
  <c r="BM77" i="2"/>
  <c r="BL77" i="2" s="1"/>
  <c r="BS77" i="2"/>
  <c r="BO77" i="2"/>
  <c r="AS72" i="2"/>
  <c r="BR63" i="2"/>
  <c r="BQ63" i="2"/>
  <c r="BM63" i="2"/>
  <c r="BL63" i="2" s="1"/>
  <c r="BP63" i="2"/>
  <c r="BS63" i="2"/>
  <c r="BO63" i="2"/>
  <c r="BR65" i="2"/>
  <c r="BQ65" i="2"/>
  <c r="BM65" i="2"/>
  <c r="BL65" i="2" s="1"/>
  <c r="BT65" i="2"/>
  <c r="BP65" i="2"/>
  <c r="BS65" i="2"/>
  <c r="BO65" i="2"/>
  <c r="BM38" i="2"/>
  <c r="AM36" i="2"/>
  <c r="BL38" i="2" s="1"/>
  <c r="DR46" i="2"/>
  <c r="CX46" i="2"/>
  <c r="CD46" i="2"/>
  <c r="EL46" i="2"/>
  <c r="BJ46" i="2"/>
  <c r="BM34" i="2"/>
  <c r="AM32" i="2"/>
  <c r="BL34" i="2" s="1"/>
  <c r="BT27" i="2"/>
  <c r="BP27" i="2"/>
  <c r="BS27" i="2"/>
  <c r="BO27" i="2"/>
  <c r="BR27" i="2"/>
  <c r="BQ27" i="2"/>
  <c r="BT26" i="2"/>
  <c r="BP26" i="2"/>
  <c r="BS26" i="2"/>
  <c r="BO26" i="2"/>
  <c r="BR26" i="2"/>
  <c r="BQ26" i="2"/>
  <c r="X37" i="2"/>
  <c r="X11" i="2"/>
  <c r="FR255" i="2"/>
  <c r="BQ16" i="2"/>
  <c r="BP16" i="2"/>
  <c r="BO16" i="2"/>
  <c r="BS16" i="2"/>
  <c r="BR16" i="2"/>
  <c r="FB5" i="2"/>
  <c r="EH5" i="2"/>
  <c r="BZ5" i="2"/>
  <c r="DN5" i="2"/>
  <c r="FB56" i="2"/>
  <c r="BZ56" i="2"/>
  <c r="EH56" i="2"/>
  <c r="CT5" i="2"/>
  <c r="CT56" i="2"/>
  <c r="DN56" i="2"/>
  <c r="BR17" i="2"/>
  <c r="BQ17" i="2"/>
  <c r="BP17" i="2"/>
  <c r="BO17" i="2"/>
  <c r="BS17" i="2"/>
  <c r="FY50" i="2"/>
  <c r="FY81" i="2" s="1"/>
  <c r="FZ19" i="2"/>
  <c r="GI116" i="2"/>
  <c r="HB25" i="2"/>
  <c r="AT6" i="2"/>
  <c r="EL8" i="2"/>
  <c r="EK8" i="2" s="1"/>
  <c r="CX8" i="2"/>
  <c r="CW8" i="2" s="1"/>
  <c r="BJ8" i="2"/>
  <c r="BI8" i="2" s="1"/>
  <c r="DR8" i="2"/>
  <c r="DQ8" i="2" s="1"/>
  <c r="CD8" i="2"/>
  <c r="CC8" i="2" s="1"/>
  <c r="BP92" i="2"/>
  <c r="BS92" i="2"/>
  <c r="BO92" i="2"/>
  <c r="BM92" i="2"/>
  <c r="BL92" i="2" s="1"/>
  <c r="BR92" i="2"/>
  <c r="BQ92" i="2"/>
  <c r="BR79" i="2"/>
  <c r="BQ79" i="2"/>
  <c r="BM79" i="2"/>
  <c r="BL79" i="2" s="1"/>
  <c r="BS79" i="2"/>
  <c r="BP79" i="2"/>
  <c r="BO79" i="2"/>
  <c r="EL64" i="2"/>
  <c r="EK64" i="2" s="1"/>
  <c r="CX64" i="2"/>
  <c r="CW64" i="2" s="1"/>
  <c r="BJ64" i="2"/>
  <c r="BI64" i="2" s="1"/>
  <c r="DR64" i="2"/>
  <c r="DQ64" i="2" s="1"/>
  <c r="CD64" i="2"/>
  <c r="CC64" i="2" s="1"/>
  <c r="AT61" i="2"/>
  <c r="EL39" i="2"/>
  <c r="BJ39" i="2"/>
  <c r="DR39" i="2"/>
  <c r="CX39" i="2"/>
  <c r="CD39" i="2"/>
  <c r="BR37" i="2"/>
  <c r="BQ37" i="2"/>
  <c r="BP37" i="2"/>
  <c r="BO37" i="2"/>
  <c r="BS37" i="2"/>
  <c r="DZ5" i="2"/>
  <c r="DZ56" i="2"/>
  <c r="DF5" i="2"/>
  <c r="BR56" i="2"/>
  <c r="BR5" i="2"/>
  <c r="DF56" i="2"/>
  <c r="ET5" i="2"/>
  <c r="CL56" i="2"/>
  <c r="ET56" i="2"/>
  <c r="CL5" i="2"/>
  <c r="BS25" i="2"/>
  <c r="BO25" i="2"/>
  <c r="BR25" i="2"/>
  <c r="BQ25" i="2"/>
  <c r="BP25" i="2"/>
  <c r="AM22" i="2"/>
  <c r="BL24" i="2" s="1"/>
  <c r="BM24" i="2"/>
  <c r="DR16" i="2"/>
  <c r="CX16" i="2"/>
  <c r="CD16" i="2"/>
  <c r="BJ16" i="2"/>
  <c r="EL16" i="2"/>
  <c r="FK343" i="2"/>
  <c r="FK342" i="2" s="1"/>
  <c r="FK341" i="2" s="1"/>
  <c r="FK168" i="2"/>
  <c r="FK167" i="2" s="1"/>
  <c r="FK23" i="2" s="1"/>
  <c r="FP343" i="2"/>
  <c r="FP342" i="2" s="1"/>
  <c r="FP341" i="2" s="1"/>
  <c r="FP168" i="2"/>
  <c r="FP167" i="2" s="1"/>
  <c r="FP23" i="2" s="1"/>
  <c r="BR100" i="2"/>
  <c r="BQ100" i="2"/>
  <c r="BP100" i="2"/>
  <c r="BT100" i="2"/>
  <c r="BO100" i="2"/>
  <c r="BS100" i="2"/>
  <c r="BM100" i="2"/>
  <c r="BL100" i="2" s="1"/>
  <c r="BQ91" i="2"/>
  <c r="BM91" i="2"/>
  <c r="BL91" i="2" s="1"/>
  <c r="BP91" i="2"/>
  <c r="BS91" i="2"/>
  <c r="BR91" i="2"/>
  <c r="BO91" i="2"/>
  <c r="BP73" i="2"/>
  <c r="BR73" i="2"/>
  <c r="BQ73" i="2"/>
  <c r="BM73" i="2"/>
  <c r="BL73" i="2" s="1"/>
  <c r="BS73" i="2"/>
  <c r="BO73" i="2"/>
  <c r="AM47" i="2"/>
  <c r="BL49" i="2" s="1"/>
  <c r="BM49" i="2"/>
  <c r="AM46" i="2"/>
  <c r="BL48" i="2" s="1"/>
  <c r="BM48" i="2"/>
  <c r="EL32" i="2"/>
  <c r="BJ32" i="2"/>
  <c r="CX32" i="2"/>
  <c r="CD32" i="2"/>
  <c r="DR32" i="2"/>
  <c r="CX24" i="2"/>
  <c r="CD24" i="2"/>
  <c r="EL24" i="2"/>
  <c r="BJ24" i="2"/>
  <c r="DR24" i="2"/>
  <c r="BS84" i="2"/>
  <c r="BO84" i="2"/>
  <c r="BR84" i="2"/>
  <c r="BQ84" i="2"/>
  <c r="BM84" i="2"/>
  <c r="BL84" i="2" s="1"/>
  <c r="BP84" i="2"/>
  <c r="DR78" i="2"/>
  <c r="CX78" i="2"/>
  <c r="CD78" i="2"/>
  <c r="EL78" i="2"/>
  <c r="BJ78" i="2"/>
  <c r="BQ66" i="2"/>
  <c r="BM66" i="2"/>
  <c r="BL66" i="2" s="1"/>
  <c r="BP66" i="2"/>
  <c r="BS66" i="2"/>
  <c r="BO66" i="2"/>
  <c r="BR66" i="2"/>
  <c r="BM43" i="2"/>
  <c r="AM41" i="2"/>
  <c r="BL43" i="2" s="1"/>
  <c r="CX60" i="2"/>
  <c r="CD60" i="2"/>
  <c r="EL60" i="2"/>
  <c r="BJ60" i="2"/>
  <c r="DR60" i="2"/>
  <c r="DG56" i="2"/>
  <c r="EA5" i="2"/>
  <c r="DG5" i="2"/>
  <c r="CM56" i="2"/>
  <c r="BS5" i="2"/>
  <c r="EU56" i="2"/>
  <c r="BS56" i="2"/>
  <c r="CM5" i="2"/>
  <c r="EA56" i="2"/>
  <c r="EU5" i="2"/>
  <c r="BM28" i="2"/>
  <c r="AM26" i="2"/>
  <c r="BL28" i="2" s="1"/>
  <c r="BT9" i="2"/>
  <c r="BP9" i="2"/>
  <c r="BR9" i="2"/>
  <c r="BO9" i="2"/>
  <c r="BO51" i="2" s="1"/>
  <c r="AZ6" i="2" s="1"/>
  <c r="BQ9" i="2"/>
  <c r="BS9" i="2"/>
  <c r="BM19" i="2"/>
  <c r="AM17" i="2"/>
  <c r="BL19" i="2" s="1"/>
  <c r="BS22" i="2"/>
  <c r="BS11" i="2"/>
  <c r="EL95" i="2"/>
  <c r="DR95" i="2"/>
  <c r="CD95" i="2"/>
  <c r="BJ95" i="2"/>
  <c r="CX95" i="2"/>
  <c r="EL77" i="2"/>
  <c r="BJ77" i="2"/>
  <c r="DR77" i="2"/>
  <c r="CX77" i="2"/>
  <c r="CD77" i="2"/>
  <c r="EL65" i="2"/>
  <c r="BJ65" i="2"/>
  <c r="DR65" i="2"/>
  <c r="CX65" i="2"/>
  <c r="CD65" i="2"/>
  <c r="CD36" i="2"/>
  <c r="EL36" i="2"/>
  <c r="BJ36" i="2"/>
  <c r="DR36" i="2"/>
  <c r="CX36" i="2"/>
  <c r="BM27" i="2"/>
  <c r="AM25" i="2"/>
  <c r="BL27" i="2" s="1"/>
  <c r="FR82" i="2"/>
  <c r="FF80" i="2"/>
  <c r="BR14" i="2"/>
  <c r="BQ14" i="2"/>
  <c r="BT14" i="2"/>
  <c r="BP14" i="2"/>
  <c r="BS14" i="2"/>
  <c r="BO14" i="2"/>
  <c r="BR20" i="2"/>
  <c r="BQ20" i="2"/>
  <c r="BT20" i="2"/>
  <c r="BP20" i="2"/>
  <c r="BS20" i="2"/>
  <c r="BO20" i="2"/>
  <c r="EL98" i="2"/>
  <c r="BJ98" i="2"/>
  <c r="DR98" i="2"/>
  <c r="CX98" i="2"/>
  <c r="CD98" i="2"/>
  <c r="CO5" i="2"/>
  <c r="BU5" i="2"/>
  <c r="EW5" i="2"/>
  <c r="EC56" i="2"/>
  <c r="EC5" i="2"/>
  <c r="EW56" i="2"/>
  <c r="DI5" i="2"/>
  <c r="DI56" i="2"/>
  <c r="BU56" i="2"/>
  <c r="CO56" i="2"/>
  <c r="BM33" i="2"/>
  <c r="AM31" i="2"/>
  <c r="BL33" i="2" s="1"/>
  <c r="EL14" i="2"/>
  <c r="BJ14" i="2"/>
  <c r="DR14" i="2"/>
  <c r="CX14" i="2"/>
  <c r="CD14" i="2"/>
  <c r="BT5" i="2"/>
  <c r="EV5" i="2"/>
  <c r="EB56" i="2"/>
  <c r="EB5" i="2"/>
  <c r="DH5" i="2"/>
  <c r="DH56" i="2"/>
  <c r="EV56" i="2"/>
  <c r="BT56" i="2"/>
  <c r="CN5" i="2"/>
  <c r="CN56" i="2"/>
  <c r="BR86" i="2"/>
  <c r="BQ86" i="2"/>
  <c r="BM86" i="2"/>
  <c r="BL86" i="2" s="1"/>
  <c r="BT86" i="2"/>
  <c r="BP86" i="2"/>
  <c r="BO86" i="2"/>
  <c r="BS86" i="2"/>
  <c r="BR98" i="2"/>
  <c r="BQ98" i="2"/>
  <c r="BM98" i="2"/>
  <c r="BL98" i="2" s="1"/>
  <c r="BT98" i="2"/>
  <c r="BP98" i="2"/>
  <c r="BS98" i="2"/>
  <c r="BO98" i="2"/>
  <c r="BS82" i="2"/>
  <c r="BO82" i="2"/>
  <c r="BR82" i="2"/>
  <c r="BQ82" i="2"/>
  <c r="BM82" i="2"/>
  <c r="BL82" i="2" s="1"/>
  <c r="BT82" i="2"/>
  <c r="BP82" i="2"/>
  <c r="BQ62" i="2"/>
  <c r="BM62" i="2"/>
  <c r="BL62" i="2" s="1"/>
  <c r="BT62" i="2"/>
  <c r="BP62" i="2"/>
  <c r="BS62" i="2"/>
  <c r="BO62" i="2"/>
  <c r="BR62" i="2"/>
  <c r="BQ68" i="2"/>
  <c r="BM68" i="2"/>
  <c r="BL68" i="2" s="1"/>
  <c r="BT68" i="2"/>
  <c r="BP68" i="2"/>
  <c r="BO68" i="2"/>
  <c r="BS68" i="2"/>
  <c r="BR68" i="2"/>
  <c r="BQ45" i="2"/>
  <c r="BT45" i="2"/>
  <c r="BP45" i="2"/>
  <c r="BS45" i="2"/>
  <c r="BO45" i="2"/>
  <c r="BR45" i="2"/>
  <c r="BR35" i="2"/>
  <c r="BQ35" i="2"/>
  <c r="BT35" i="2"/>
  <c r="BP35" i="2"/>
  <c r="BO35" i="2"/>
  <c r="BS35" i="2"/>
  <c r="BQ33" i="2"/>
  <c r="BS33" i="2"/>
  <c r="BO33" i="2"/>
  <c r="BR33" i="2"/>
  <c r="BP33" i="2"/>
  <c r="BT33" i="2"/>
  <c r="DR13" i="2"/>
  <c r="DQ13" i="2" s="1"/>
  <c r="CD13" i="2"/>
  <c r="CC13" i="2" s="1"/>
  <c r="CX13" i="2"/>
  <c r="CW13" i="2" s="1"/>
  <c r="EL13" i="2"/>
  <c r="EK13" i="2" s="1"/>
  <c r="AT11" i="2"/>
  <c r="BJ13" i="2"/>
  <c r="BI13" i="2" s="1"/>
  <c r="CX31" i="2"/>
  <c r="CD31" i="2"/>
  <c r="DR31" i="2"/>
  <c r="BJ31" i="2"/>
  <c r="EL31" i="2"/>
  <c r="BT31" i="2"/>
  <c r="BP31" i="2"/>
  <c r="BS31" i="2"/>
  <c r="BO31" i="2"/>
  <c r="BR31" i="2"/>
  <c r="BQ31" i="2"/>
  <c r="HB31" i="2"/>
  <c r="BS8" i="2"/>
  <c r="FH343" i="2"/>
  <c r="FH342" i="2" s="1"/>
  <c r="FH341" i="2" s="1"/>
  <c r="FH168" i="2"/>
  <c r="FH167" i="2" s="1"/>
  <c r="FH23" i="2" s="1"/>
  <c r="FM343" i="2"/>
  <c r="FM342" i="2" s="1"/>
  <c r="FM341" i="2" s="1"/>
  <c r="FM168" i="2"/>
  <c r="FM167" i="2" s="1"/>
  <c r="FM23" i="2" s="1"/>
  <c r="FN343" i="2"/>
  <c r="FN342" i="2" s="1"/>
  <c r="FN341" i="2" s="1"/>
  <c r="FN168" i="2"/>
  <c r="FN167" i="2" s="1"/>
  <c r="FN23" i="2" s="1"/>
  <c r="BR94" i="2"/>
  <c r="BQ94" i="2"/>
  <c r="BM94" i="2"/>
  <c r="BL94" i="2" s="1"/>
  <c r="BT94" i="2"/>
  <c r="BP94" i="2"/>
  <c r="BS94" i="2"/>
  <c r="BO94" i="2"/>
  <c r="BS93" i="2"/>
  <c r="BO93" i="2"/>
  <c r="BR93" i="2"/>
  <c r="BT93" i="2"/>
  <c r="BQ93" i="2"/>
  <c r="BP93" i="2"/>
  <c r="BM93" i="2"/>
  <c r="BL93" i="2" s="1"/>
  <c r="BR90" i="2"/>
  <c r="BQ90" i="2"/>
  <c r="BM90" i="2"/>
  <c r="BL90" i="2" s="1"/>
  <c r="BT90" i="2"/>
  <c r="BP90" i="2"/>
  <c r="BS90" i="2"/>
  <c r="BO90" i="2"/>
  <c r="BT74" i="2"/>
  <c r="BP74" i="2"/>
  <c r="BR74" i="2"/>
  <c r="BQ74" i="2"/>
  <c r="BM74" i="2"/>
  <c r="BL74" i="2" s="1"/>
  <c r="BO74" i="2"/>
  <c r="BS74" i="2"/>
  <c r="BT69" i="2"/>
  <c r="BP69" i="2"/>
  <c r="BS69" i="2"/>
  <c r="BO69" i="2"/>
  <c r="BM69" i="2"/>
  <c r="BL69" i="2" s="1"/>
  <c r="BR69" i="2"/>
  <c r="BQ69" i="2"/>
  <c r="EL44" i="2"/>
  <c r="BJ44" i="2"/>
  <c r="DR44" i="2"/>
  <c r="CX44" i="2"/>
  <c r="CD44" i="2"/>
  <c r="BR44" i="2"/>
  <c r="BQ44" i="2"/>
  <c r="BT44" i="2"/>
  <c r="BP44" i="2"/>
  <c r="BS44" i="2"/>
  <c r="BO44" i="2"/>
  <c r="BT41" i="2"/>
  <c r="BP41" i="2"/>
  <c r="BS41" i="2"/>
  <c r="BO41" i="2"/>
  <c r="BR41" i="2"/>
  <c r="BQ41" i="2"/>
  <c r="CD25" i="2"/>
  <c r="EL25" i="2"/>
  <c r="BJ25" i="2"/>
  <c r="DR25" i="2"/>
  <c r="CX25" i="2"/>
  <c r="BT13" i="2"/>
  <c r="BP13" i="2"/>
  <c r="BS13" i="2"/>
  <c r="BO13" i="2"/>
  <c r="BR13" i="2"/>
  <c r="BQ13" i="2"/>
  <c r="BS18" i="2"/>
  <c r="BS88" i="2"/>
  <c r="BO88" i="2"/>
  <c r="BR88" i="2"/>
  <c r="BQ88" i="2"/>
  <c r="BM88" i="2"/>
  <c r="BL88" i="2" s="1"/>
  <c r="BT88" i="2"/>
  <c r="BP88" i="2"/>
  <c r="BT96" i="2"/>
  <c r="BP96" i="2"/>
  <c r="BS96" i="2"/>
  <c r="BO96" i="2"/>
  <c r="BR96" i="2"/>
  <c r="BQ96" i="2"/>
  <c r="BM96" i="2"/>
  <c r="BL96" i="2" s="1"/>
  <c r="AS69" i="2"/>
  <c r="BR71" i="2"/>
  <c r="BQ71" i="2"/>
  <c r="BM71" i="2"/>
  <c r="BL71" i="2" s="1"/>
  <c r="BP71" i="2"/>
  <c r="BO71" i="2"/>
  <c r="BT71" i="2"/>
  <c r="BS71" i="2"/>
  <c r="BT67" i="2"/>
  <c r="BP67" i="2"/>
  <c r="BS67" i="2"/>
  <c r="BO67" i="2"/>
  <c r="BR67" i="2"/>
  <c r="BQ67" i="2"/>
  <c r="BM67" i="2"/>
  <c r="BL67" i="2" s="1"/>
  <c r="DR42" i="2"/>
  <c r="DQ42" i="2" s="1"/>
  <c r="CD42" i="2"/>
  <c r="CC42" i="2" s="1"/>
  <c r="EL42" i="2"/>
  <c r="EK42" i="2" s="1"/>
  <c r="CX42" i="2"/>
  <c r="CW42" i="2" s="1"/>
  <c r="BJ42" i="2"/>
  <c r="BI42" i="2" s="1"/>
  <c r="AT40" i="2"/>
  <c r="BT47" i="2"/>
  <c r="BP47" i="2"/>
  <c r="BS47" i="2"/>
  <c r="BO47" i="2"/>
  <c r="BR47" i="2"/>
  <c r="BQ47" i="2"/>
  <c r="BR39" i="2"/>
  <c r="BQ39" i="2"/>
  <c r="BT39" i="2"/>
  <c r="BP39" i="2"/>
  <c r="BS39" i="2"/>
  <c r="BO39" i="2"/>
  <c r="BS36" i="2"/>
  <c r="BO36" i="2"/>
  <c r="BR36" i="2"/>
  <c r="BQ36" i="2"/>
  <c r="BT36" i="2"/>
  <c r="BP36" i="2"/>
  <c r="BM23" i="2"/>
  <c r="AM21" i="2"/>
  <c r="BL23" i="2" s="1"/>
  <c r="EL17" i="2"/>
  <c r="BJ17" i="2"/>
  <c r="DR17" i="2"/>
  <c r="CX17" i="2"/>
  <c r="CD17" i="2"/>
  <c r="EA58" i="2"/>
  <c r="CM58" i="2"/>
  <c r="EU58" i="2"/>
  <c r="DG58" i="2"/>
  <c r="BS58" i="2"/>
  <c r="AD29" i="2"/>
  <c r="EU7" i="2"/>
  <c r="EA7" i="2"/>
  <c r="DG7" i="2"/>
  <c r="CM7" i="2"/>
  <c r="BS7" i="2"/>
  <c r="W13" i="2"/>
  <c r="AY10" i="2"/>
  <c r="AY26" i="2" s="1"/>
  <c r="CD11" i="2"/>
  <c r="EL11" i="2"/>
  <c r="BJ11" i="2"/>
  <c r="CX11" i="2"/>
  <c r="DR11" i="2"/>
  <c r="BS101" i="2"/>
  <c r="BO101" i="2"/>
  <c r="BR101" i="2"/>
  <c r="BM101" i="2"/>
  <c r="BL101" i="2" s="1"/>
  <c r="BQ101" i="2"/>
  <c r="BP101" i="2"/>
  <c r="BT101" i="2"/>
  <c r="BQ97" i="2"/>
  <c r="BM97" i="2"/>
  <c r="BL97" i="2" s="1"/>
  <c r="BT97" i="2"/>
  <c r="BP97" i="2"/>
  <c r="BS97" i="2"/>
  <c r="BR97" i="2"/>
  <c r="BO97" i="2"/>
  <c r="AS84" i="2"/>
  <c r="BT83" i="2"/>
  <c r="BP83" i="2"/>
  <c r="BS83" i="2"/>
  <c r="BO83" i="2"/>
  <c r="BR83" i="2"/>
  <c r="BQ83" i="2"/>
  <c r="BM83" i="2"/>
  <c r="BL83" i="2" s="1"/>
  <c r="BT70" i="2"/>
  <c r="BP70" i="2"/>
  <c r="BS70" i="2"/>
  <c r="BO70" i="2"/>
  <c r="BM70" i="2"/>
  <c r="BL70" i="2" s="1"/>
  <c r="BR70" i="2"/>
  <c r="BQ70" i="2"/>
  <c r="BT76" i="2"/>
  <c r="BP76" i="2"/>
  <c r="BR76" i="2"/>
  <c r="BQ76" i="2"/>
  <c r="BM76" i="2"/>
  <c r="BL76" i="2" s="1"/>
  <c r="BS76" i="2"/>
  <c r="BO76" i="2"/>
  <c r="BM50" i="2"/>
  <c r="AM48" i="2"/>
  <c r="BL50" i="2" s="1"/>
  <c r="CX47" i="2"/>
  <c r="CD47" i="2"/>
  <c r="EL47" i="2"/>
  <c r="BJ47" i="2"/>
  <c r="DR47" i="2"/>
  <c r="BS40" i="2"/>
  <c r="BO40" i="2"/>
  <c r="BR40" i="2"/>
  <c r="BQ40" i="2"/>
  <c r="BP40" i="2"/>
  <c r="BT40" i="2"/>
  <c r="CQ5" i="2"/>
  <c r="EY56" i="2"/>
  <c r="BW56" i="2"/>
  <c r="EY5" i="2"/>
  <c r="EE5" i="2"/>
  <c r="EE56" i="2"/>
  <c r="DK5" i="2"/>
  <c r="CQ56" i="2"/>
  <c r="BW5" i="2"/>
  <c r="DK56" i="2"/>
  <c r="BS34" i="2"/>
  <c r="BO34" i="2"/>
  <c r="BR34" i="2"/>
  <c r="BQ34" i="2"/>
  <c r="BP34" i="2"/>
  <c r="BT34" i="2"/>
  <c r="BM21" i="2"/>
  <c r="AM19" i="2"/>
  <c r="BL21" i="2" s="1"/>
  <c r="DR15" i="2"/>
  <c r="CX15" i="2"/>
  <c r="CD15" i="2"/>
  <c r="BJ15" i="2"/>
  <c r="EL15" i="2"/>
  <c r="AB37" i="2"/>
  <c r="AB8" i="2" s="1"/>
  <c r="AG8" i="2"/>
  <c r="BM16" i="2"/>
  <c r="AM14" i="2"/>
  <c r="BL16" i="2" s="1"/>
  <c r="BQ29" i="2"/>
  <c r="BT29" i="2"/>
  <c r="BP29" i="2"/>
  <c r="BS29" i="2"/>
  <c r="BR29" i="2"/>
  <c r="BO29" i="2"/>
  <c r="EL18" i="2"/>
  <c r="EK18" i="2" s="1"/>
  <c r="CX18" i="2"/>
  <c r="CW18" i="2" s="1"/>
  <c r="BJ18" i="2"/>
  <c r="BI18" i="2" s="1"/>
  <c r="AT16" i="2"/>
  <c r="DR18" i="2"/>
  <c r="DQ18" i="2" s="1"/>
  <c r="CD18" i="2"/>
  <c r="CC18" i="2" s="1"/>
  <c r="FX81" i="2"/>
  <c r="FF349" i="2"/>
  <c r="FR349" i="2" s="1"/>
  <c r="FR175" i="2"/>
  <c r="HB29" i="2"/>
  <c r="BT99" i="2"/>
  <c r="BP99" i="2"/>
  <c r="BS99" i="2"/>
  <c r="BO99" i="2"/>
  <c r="BR99" i="2"/>
  <c r="BQ99" i="2"/>
  <c r="BM99" i="2"/>
  <c r="BL99" i="2" s="1"/>
  <c r="BT81" i="2"/>
  <c r="BP81" i="2"/>
  <c r="BS81" i="2"/>
  <c r="BO81" i="2"/>
  <c r="BR81" i="2"/>
  <c r="BQ81" i="2"/>
  <c r="BM81" i="2"/>
  <c r="BL81" i="2" s="1"/>
  <c r="DR45" i="2"/>
  <c r="CX45" i="2"/>
  <c r="CD45" i="2"/>
  <c r="BJ45" i="2"/>
  <c r="EL45" i="2"/>
  <c r="BN51" i="2"/>
  <c r="FF343" i="2"/>
  <c r="FR169" i="2"/>
  <c r="FF168" i="2"/>
  <c r="BS85" i="2"/>
  <c r="BO85" i="2"/>
  <c r="BR85" i="2"/>
  <c r="BQ85" i="2"/>
  <c r="BM85" i="2"/>
  <c r="BL85" i="2" s="1"/>
  <c r="BP85" i="2"/>
  <c r="BT85" i="2"/>
  <c r="BT61" i="2"/>
  <c r="BP61" i="2"/>
  <c r="BS61" i="2"/>
  <c r="BO61" i="2"/>
  <c r="BR61" i="2"/>
  <c r="BQ61" i="2"/>
  <c r="BM61" i="2"/>
  <c r="BL61" i="2" s="1"/>
  <c r="EL50" i="2"/>
  <c r="BJ50" i="2"/>
  <c r="DR50" i="2"/>
  <c r="CX50" i="2"/>
  <c r="CD50" i="2"/>
  <c r="DR12" i="2"/>
  <c r="CX12" i="2"/>
  <c r="EL12" i="2"/>
  <c r="BJ12" i="2"/>
  <c r="CD12" i="2"/>
  <c r="AN49" i="2"/>
  <c r="BR80" i="2"/>
  <c r="BQ80" i="2"/>
  <c r="BM80" i="2"/>
  <c r="BL80" i="2" s="1"/>
  <c r="BS80" i="2"/>
  <c r="BO80" i="2"/>
  <c r="BT80" i="2"/>
  <c r="BP80" i="2"/>
  <c r="BN102" i="2"/>
  <c r="BS59" i="2"/>
  <c r="BO59" i="2"/>
  <c r="BR59" i="2"/>
  <c r="BQ59" i="2"/>
  <c r="BQ102" i="2" s="1"/>
  <c r="AZ24" i="2" s="1"/>
  <c r="BP59" i="2"/>
  <c r="BM59" i="2"/>
  <c r="BT59" i="2"/>
  <c r="CX41" i="2"/>
  <c r="CD41" i="2"/>
  <c r="EL41" i="2"/>
  <c r="BJ41" i="2"/>
  <c r="DR41" i="2"/>
  <c r="BM46" i="2"/>
  <c r="AM44" i="2"/>
  <c r="BL46" i="2" s="1"/>
  <c r="BM30" i="2"/>
  <c r="AM28" i="2"/>
  <c r="BL30" i="2" s="1"/>
  <c r="GQ4" i="2"/>
  <c r="BQ89" i="2"/>
  <c r="BM89" i="2"/>
  <c r="BL89" i="2" s="1"/>
  <c r="BT89" i="2"/>
  <c r="BP89" i="2"/>
  <c r="BS89" i="2"/>
  <c r="BO89" i="2"/>
  <c r="BR89" i="2"/>
  <c r="EL63" i="2"/>
  <c r="BJ63" i="2"/>
  <c r="DR63" i="2"/>
  <c r="CX63" i="2"/>
  <c r="CD63" i="2"/>
  <c r="BQ38" i="2"/>
  <c r="BT38" i="2"/>
  <c r="BP38" i="2"/>
  <c r="BS38" i="2"/>
  <c r="BO38" i="2"/>
  <c r="BR38" i="2"/>
  <c r="CD33" i="2"/>
  <c r="EL33" i="2"/>
  <c r="DR33" i="2"/>
  <c r="CX33" i="2"/>
  <c r="BJ33" i="2"/>
  <c r="AM24" i="2"/>
  <c r="BL26" i="2" s="1"/>
  <c r="BM26" i="2"/>
  <c r="BM17" i="2"/>
  <c r="AM15" i="2"/>
  <c r="BL17" i="2" s="1"/>
  <c r="CX23" i="2"/>
  <c r="CD23" i="2"/>
  <c r="EL23" i="2"/>
  <c r="BJ23" i="2"/>
  <c r="DR23" i="2"/>
  <c r="BQ12" i="2"/>
  <c r="BT12" i="2"/>
  <c r="BP12" i="2"/>
  <c r="BP51" i="2" s="1"/>
  <c r="AZ7" i="2" s="1"/>
  <c r="BR12" i="2"/>
  <c r="BO12" i="2"/>
  <c r="BS12" i="2"/>
  <c r="EL86" i="2"/>
  <c r="BJ86" i="2"/>
  <c r="DR86" i="2"/>
  <c r="CX86" i="2"/>
  <c r="CD86" i="2"/>
  <c r="CD82" i="2"/>
  <c r="EL82" i="2"/>
  <c r="BJ82" i="2"/>
  <c r="DR82" i="2"/>
  <c r="CX82" i="2"/>
  <c r="DR68" i="2"/>
  <c r="CX68" i="2"/>
  <c r="EL68" i="2"/>
  <c r="CD68" i="2"/>
  <c r="BJ68" i="2"/>
  <c r="CD40" i="2"/>
  <c r="EL40" i="2"/>
  <c r="BJ40" i="2"/>
  <c r="DR40" i="2"/>
  <c r="CX40" i="2"/>
  <c r="BM35" i="2"/>
  <c r="AM33" i="2"/>
  <c r="BL35" i="2" s="1"/>
  <c r="CX26" i="2"/>
  <c r="CD26" i="2"/>
  <c r="EL26" i="2"/>
  <c r="BJ26" i="2"/>
  <c r="DR26" i="2"/>
  <c r="CX27" i="2"/>
  <c r="CD27" i="2"/>
  <c r="BJ27" i="2"/>
  <c r="EL27" i="2"/>
  <c r="DR27" i="2"/>
  <c r="AS96" i="2"/>
  <c r="AS89" i="2"/>
  <c r="AS78" i="2"/>
  <c r="AS76" i="2"/>
  <c r="BS64" i="2"/>
  <c r="BO64" i="2"/>
  <c r="BR64" i="2"/>
  <c r="BQ64" i="2"/>
  <c r="BM64" i="2"/>
  <c r="BL64" i="2" s="1"/>
  <c r="BT64" i="2"/>
  <c r="BP64" i="2"/>
  <c r="EL49" i="2"/>
  <c r="BJ49" i="2"/>
  <c r="DR49" i="2"/>
  <c r="CX49" i="2"/>
  <c r="CD49" i="2"/>
  <c r="BM45" i="2"/>
  <c r="AM43" i="2"/>
  <c r="BL45" i="2" s="1"/>
  <c r="BM37" i="2"/>
  <c r="AM35" i="2"/>
  <c r="BL37" i="2" s="1"/>
  <c r="DW56" i="2"/>
  <c r="CI56" i="2"/>
  <c r="DC5" i="2"/>
  <c r="BO5" i="2"/>
  <c r="CI5" i="2"/>
  <c r="EQ56" i="2"/>
  <c r="BO56" i="2"/>
  <c r="DC56" i="2"/>
  <c r="EQ5" i="2"/>
  <c r="DW5" i="2"/>
  <c r="AM23" i="2"/>
  <c r="BL25" i="2" s="1"/>
  <c r="BM25" i="2"/>
  <c r="BT24" i="2"/>
  <c r="BP24" i="2"/>
  <c r="BS24" i="2"/>
  <c r="BO24" i="2"/>
  <c r="BR24" i="2"/>
  <c r="BQ24" i="2"/>
  <c r="BM31" i="2"/>
  <c r="AM29" i="2"/>
  <c r="BL31" i="2" s="1"/>
  <c r="GI54" i="2"/>
  <c r="FG343" i="2"/>
  <c r="FG342" i="2" s="1"/>
  <c r="FG341" i="2" s="1"/>
  <c r="FG168" i="2"/>
  <c r="FG167" i="2" s="1"/>
  <c r="FG23" i="2" s="1"/>
  <c r="FL343" i="2"/>
  <c r="FL342" i="2" s="1"/>
  <c r="FL341" i="2" s="1"/>
  <c r="FL168" i="2"/>
  <c r="FL167" i="2" s="1"/>
  <c r="FL23" i="2" s="1"/>
  <c r="FQ343" i="2"/>
  <c r="FQ342" i="2" s="1"/>
  <c r="FQ341" i="2" s="1"/>
  <c r="FQ168" i="2"/>
  <c r="FQ167" i="2" s="1"/>
  <c r="FQ23" i="2" s="1"/>
  <c r="AS97" i="2"/>
  <c r="AS82" i="2"/>
  <c r="AS88" i="2"/>
  <c r="AS70" i="2"/>
  <c r="AS58" i="2"/>
  <c r="DR43" i="2"/>
  <c r="CX43" i="2"/>
  <c r="CD43" i="2"/>
  <c r="EL43" i="2"/>
  <c r="BJ43" i="2"/>
  <c r="BS48" i="2"/>
  <c r="BO48" i="2"/>
  <c r="BR48" i="2"/>
  <c r="BQ48" i="2"/>
  <c r="BT48" i="2"/>
  <c r="BP48" i="2"/>
  <c r="EL37" i="2"/>
  <c r="BJ37" i="2"/>
  <c r="DR37" i="2"/>
  <c r="CX37" i="2"/>
  <c r="CD37" i="2"/>
  <c r="AM39" i="2"/>
  <c r="BL41" i="2" s="1"/>
  <c r="BM41" i="2"/>
  <c r="EL35" i="2"/>
  <c r="BJ35" i="2"/>
  <c r="DR35" i="2"/>
  <c r="CX35" i="2"/>
  <c r="CD35" i="2"/>
  <c r="BP56" i="2"/>
  <c r="CJ5" i="2"/>
  <c r="CJ56" i="2"/>
  <c r="BP5" i="2"/>
  <c r="ER5" i="2"/>
  <c r="DD5" i="2"/>
  <c r="DD56" i="2"/>
  <c r="ER56" i="2"/>
  <c r="DX5" i="2"/>
  <c r="DX56" i="2"/>
  <c r="CD21" i="2"/>
  <c r="EL21" i="2"/>
  <c r="BJ21" i="2"/>
  <c r="DR21" i="2"/>
  <c r="CX21" i="2"/>
  <c r="BL8" i="2"/>
  <c r="AS81" i="2"/>
  <c r="AS77" i="2"/>
  <c r="BQ78" i="2"/>
  <c r="BM78" i="2"/>
  <c r="BL78" i="2" s="1"/>
  <c r="BT78" i="2"/>
  <c r="BP78" i="2"/>
  <c r="BS78" i="2"/>
  <c r="BO78" i="2"/>
  <c r="BR78" i="2"/>
  <c r="AS56" i="2"/>
  <c r="AS64" i="2"/>
  <c r="CD48" i="2"/>
  <c r="EL48" i="2"/>
  <c r="BJ48" i="2"/>
  <c r="DR48" i="2"/>
  <c r="CX48" i="2"/>
  <c r="AM45" i="2"/>
  <c r="BL47" i="2" s="1"/>
  <c r="BM47" i="2"/>
  <c r="BT60" i="2"/>
  <c r="BP60" i="2"/>
  <c r="BS60" i="2"/>
  <c r="BO60" i="2"/>
  <c r="BR60" i="2"/>
  <c r="BR102" i="2" s="1"/>
  <c r="AZ25" i="2" s="1"/>
  <c r="BM60" i="2"/>
  <c r="BL60" i="2" s="1"/>
  <c r="BQ60" i="2"/>
  <c r="DY5" i="2"/>
  <c r="DE56" i="2"/>
  <c r="DY56" i="2"/>
  <c r="DE5" i="2"/>
  <c r="CK5" i="2"/>
  <c r="CK56" i="2"/>
  <c r="ES56" i="2"/>
  <c r="BQ56" i="2"/>
  <c r="BQ5" i="2"/>
  <c r="ES5" i="2"/>
  <c r="BT23" i="2"/>
  <c r="BP23" i="2"/>
  <c r="BS23" i="2"/>
  <c r="BO23" i="2"/>
  <c r="BR23" i="2"/>
  <c r="BQ23" i="2"/>
  <c r="BQ46" i="2"/>
  <c r="BT46" i="2"/>
  <c r="BP46" i="2"/>
  <c r="BS46" i="2"/>
  <c r="BO46" i="2"/>
  <c r="BR46" i="2"/>
  <c r="EL20" i="2"/>
  <c r="BJ20" i="2"/>
  <c r="DR20" i="2"/>
  <c r="CX20" i="2"/>
  <c r="CD20" i="2"/>
  <c r="BQ30" i="2"/>
  <c r="BT30" i="2"/>
  <c r="BP30" i="2"/>
  <c r="BS30" i="2"/>
  <c r="BR30" i="2"/>
  <c r="BR51" i="2" s="1"/>
  <c r="AZ9" i="2" s="1"/>
  <c r="BO30" i="2"/>
  <c r="CD19" i="2"/>
  <c r="EL19" i="2"/>
  <c r="BJ19" i="2"/>
  <c r="DR19" i="2"/>
  <c r="CX19" i="2"/>
  <c r="HE113" i="2"/>
  <c r="AS98" i="2"/>
  <c r="AS94" i="2"/>
  <c r="BS87" i="2"/>
  <c r="BO87" i="2"/>
  <c r="BR87" i="2"/>
  <c r="BQ87" i="2"/>
  <c r="BM87" i="2"/>
  <c r="BL87" i="2" s="1"/>
  <c r="BP87" i="2"/>
  <c r="BT87" i="2"/>
  <c r="AS80" i="2"/>
  <c r="AS67" i="2"/>
  <c r="AS73" i="2"/>
  <c r="BR50" i="2"/>
  <c r="BQ50" i="2"/>
  <c r="BT50" i="2"/>
  <c r="BP50" i="2"/>
  <c r="BS50" i="2"/>
  <c r="BO50" i="2"/>
  <c r="AM40" i="2"/>
  <c r="BL42" i="2" s="1"/>
  <c r="BM42" i="2"/>
  <c r="AM38" i="2"/>
  <c r="BL40" i="2" s="1"/>
  <c r="BM40" i="2"/>
  <c r="DR38" i="2"/>
  <c r="CX38" i="2"/>
  <c r="CD38" i="2"/>
  <c r="EL38" i="2"/>
  <c r="BJ38" i="2"/>
  <c r="DR30" i="2"/>
  <c r="CX30" i="2"/>
  <c r="CD30" i="2"/>
  <c r="BJ30" i="2"/>
  <c r="EL30" i="2"/>
  <c r="BS21" i="2"/>
  <c r="BO21" i="2"/>
  <c r="BR21" i="2"/>
  <c r="BQ21" i="2"/>
  <c r="BP21" i="2"/>
  <c r="BT21" i="2"/>
  <c r="AM30" i="2"/>
  <c r="BL32" i="2" s="1"/>
  <c r="BM32" i="2"/>
  <c r="BM14" i="2"/>
  <c r="AM12" i="2"/>
  <c r="BL14" i="2" s="1"/>
  <c r="BM20" i="2"/>
  <c r="AM18" i="2"/>
  <c r="BL20" i="2" s="1"/>
  <c r="BM29" i="2"/>
  <c r="AM27" i="2"/>
  <c r="BL29" i="2" s="1"/>
  <c r="CD10" i="2"/>
  <c r="DR10" i="2"/>
  <c r="EL10" i="2"/>
  <c r="CX10" i="2"/>
  <c r="BJ10" i="2"/>
  <c r="CX9" i="2"/>
  <c r="EL9" i="2"/>
  <c r="BJ9" i="2"/>
  <c r="CD9" i="2"/>
  <c r="DR9" i="2"/>
  <c r="BM12" i="2"/>
  <c r="BM51" i="2" s="1"/>
  <c r="AM10" i="2"/>
  <c r="BL12" i="2" s="1"/>
  <c r="CX70" i="2" l="1"/>
  <c r="CD70" i="2"/>
  <c r="EL70" i="2"/>
  <c r="DR70" i="2"/>
  <c r="BJ70" i="2"/>
  <c r="CX61" i="2"/>
  <c r="CD61" i="2"/>
  <c r="EL61" i="2"/>
  <c r="BJ61" i="2"/>
  <c r="DR61" i="2"/>
  <c r="EL100" i="2"/>
  <c r="BJ100" i="2"/>
  <c r="CX100" i="2"/>
  <c r="CD100" i="2"/>
  <c r="DR100" i="2"/>
  <c r="AG20" i="2"/>
  <c r="AI8" i="2"/>
  <c r="CX83" i="2"/>
  <c r="CD83" i="2"/>
  <c r="EL83" i="2"/>
  <c r="BJ83" i="2"/>
  <c r="DR83" i="2"/>
  <c r="FH216" i="2"/>
  <c r="FH41" i="2" s="1"/>
  <c r="FH210" i="2"/>
  <c r="EL59" i="2"/>
  <c r="EK59" i="2" s="1"/>
  <c r="CX59" i="2"/>
  <c r="CW59" i="2" s="1"/>
  <c r="BJ59" i="2"/>
  <c r="BI59" i="2" s="1"/>
  <c r="DR59" i="2"/>
  <c r="DQ59" i="2" s="1"/>
  <c r="AT56" i="2"/>
  <c r="CD59" i="2"/>
  <c r="CC59" i="2" s="1"/>
  <c r="BL51" i="2"/>
  <c r="FG210" i="2"/>
  <c r="FG216" i="2"/>
  <c r="FG41" i="2" s="1"/>
  <c r="DR91" i="2"/>
  <c r="CX91" i="2"/>
  <c r="EL91" i="2"/>
  <c r="CD91" i="2"/>
  <c r="BJ91" i="2"/>
  <c r="FF216" i="2"/>
  <c r="FF41" i="2" s="1"/>
  <c r="FR41" i="2" s="1"/>
  <c r="FF210" i="2"/>
  <c r="EL79" i="2"/>
  <c r="BJ79" i="2"/>
  <c r="DR79" i="2"/>
  <c r="CX79" i="2"/>
  <c r="CD79" i="2"/>
  <c r="BP102" i="2"/>
  <c r="AZ23" i="2" s="1"/>
  <c r="FR343" i="2"/>
  <c r="FF342" i="2"/>
  <c r="BS102" i="2"/>
  <c r="AZ26" i="2" s="1"/>
  <c r="FK210" i="2"/>
  <c r="FK216" i="2"/>
  <c r="FK41" i="2" s="1"/>
  <c r="FL210" i="2"/>
  <c r="FL216" i="2"/>
  <c r="FL41" i="2" s="1"/>
  <c r="BT91" i="2"/>
  <c r="BT92" i="2"/>
  <c r="FZ50" i="2"/>
  <c r="GA19" i="2"/>
  <c r="FQ216" i="2"/>
  <c r="FQ41" i="2" s="1"/>
  <c r="FQ210" i="2"/>
  <c r="BT16" i="2"/>
  <c r="CD75" i="2"/>
  <c r="DR75" i="2"/>
  <c r="CX75" i="2"/>
  <c r="BJ75" i="2"/>
  <c r="EL75" i="2"/>
  <c r="BT19" i="2"/>
  <c r="FP216" i="2"/>
  <c r="FP41" i="2" s="1"/>
  <c r="FP210" i="2"/>
  <c r="BT42" i="2"/>
  <c r="EL80" i="2"/>
  <c r="BJ80" i="2"/>
  <c r="DR80" i="2"/>
  <c r="CD80" i="2"/>
  <c r="CX80" i="2"/>
  <c r="CX92" i="2"/>
  <c r="CD92" i="2"/>
  <c r="EL92" i="2"/>
  <c r="DR92" i="2"/>
  <c r="BJ92" i="2"/>
  <c r="FF167" i="2"/>
  <c r="FR168" i="2"/>
  <c r="BS51" i="2"/>
  <c r="AZ10" i="2" s="1"/>
  <c r="GR4" i="2"/>
  <c r="HG113" i="2"/>
  <c r="HG109" i="2"/>
  <c r="HG107" i="2"/>
  <c r="HG108" i="2"/>
  <c r="HG112" i="2"/>
  <c r="HG110" i="2"/>
  <c r="DR67" i="2"/>
  <c r="DQ67" i="2" s="1"/>
  <c r="CD67" i="2"/>
  <c r="CC67" i="2" s="1"/>
  <c r="EL67" i="2"/>
  <c r="EK67" i="2" s="1"/>
  <c r="BJ67" i="2"/>
  <c r="BI67" i="2" s="1"/>
  <c r="CX67" i="2"/>
  <c r="CW67" i="2" s="1"/>
  <c r="AT64" i="2"/>
  <c r="DR76" i="2"/>
  <c r="DQ76" i="2" s="1"/>
  <c r="CD76" i="2"/>
  <c r="CC76" i="2" s="1"/>
  <c r="EL76" i="2"/>
  <c r="EK76" i="2" s="1"/>
  <c r="CX76" i="2"/>
  <c r="CW76" i="2" s="1"/>
  <c r="BJ76" i="2"/>
  <c r="BI76" i="2" s="1"/>
  <c r="AT73" i="2"/>
  <c r="DR97" i="2"/>
  <c r="CX97" i="2"/>
  <c r="CD97" i="2"/>
  <c r="BJ97" i="2"/>
  <c r="EL97" i="2"/>
  <c r="AM49" i="2"/>
  <c r="Z8" i="2" s="1"/>
  <c r="Z9" i="2" s="1"/>
  <c r="EL85" i="2"/>
  <c r="EK85" i="2" s="1"/>
  <c r="CX85" i="2"/>
  <c r="CW85" i="2" s="1"/>
  <c r="BJ85" i="2"/>
  <c r="BI85" i="2" s="1"/>
  <c r="AT82" i="2"/>
  <c r="CD85" i="2"/>
  <c r="CC85" i="2" s="1"/>
  <c r="DR85" i="2"/>
  <c r="DQ85" i="2" s="1"/>
  <c r="HZ35" i="2"/>
  <c r="GC23" i="2"/>
  <c r="CX81" i="2"/>
  <c r="CD81" i="2"/>
  <c r="EL81" i="2"/>
  <c r="BJ81" i="2"/>
  <c r="DR81" i="2"/>
  <c r="FN216" i="2"/>
  <c r="FN41" i="2" s="1"/>
  <c r="FN210" i="2"/>
  <c r="EV58" i="2"/>
  <c r="EB58" i="2"/>
  <c r="DH58" i="2"/>
  <c r="CN58" i="2"/>
  <c r="BT58" i="2"/>
  <c r="W14" i="2"/>
  <c r="AD30" i="2"/>
  <c r="AY11" i="2"/>
  <c r="AY27" i="2" s="1"/>
  <c r="EV7" i="2"/>
  <c r="EB7" i="2"/>
  <c r="DH7" i="2"/>
  <c r="CN7" i="2"/>
  <c r="BT7" i="2"/>
  <c r="IB35" i="2"/>
  <c r="GD23" i="2"/>
  <c r="BQ51" i="2"/>
  <c r="AZ8" i="2" s="1"/>
  <c r="BT66" i="2"/>
  <c r="BT84" i="2"/>
  <c r="HX35" i="2"/>
  <c r="GB23" i="2"/>
  <c r="BT25" i="2"/>
  <c r="BT37" i="2"/>
  <c r="BT79" i="2"/>
  <c r="BT77" i="2"/>
  <c r="FM216" i="2"/>
  <c r="FM41" i="2" s="1"/>
  <c r="FM210" i="2"/>
  <c r="HT35" i="2"/>
  <c r="FZ23" i="2"/>
  <c r="FR80" i="2"/>
  <c r="GN24" i="2"/>
  <c r="GZ24" i="2" s="1"/>
  <c r="FJ216" i="2"/>
  <c r="FJ41" i="2" s="1"/>
  <c r="FJ210" i="2"/>
  <c r="FI216" i="2"/>
  <c r="FI41" i="2" s="1"/>
  <c r="FI210" i="2"/>
  <c r="DL5" i="2"/>
  <c r="CR5" i="2"/>
  <c r="BX5" i="2"/>
  <c r="EZ5" i="2"/>
  <c r="EZ56" i="2"/>
  <c r="DL56" i="2"/>
  <c r="EF5" i="2"/>
  <c r="EF56" i="2"/>
  <c r="BX56" i="2"/>
  <c r="CR56" i="2"/>
  <c r="DR89" i="2"/>
  <c r="CX89" i="2"/>
  <c r="CD89" i="2"/>
  <c r="EL89" i="2"/>
  <c r="BJ89" i="2"/>
  <c r="BT10" i="2"/>
  <c r="BT11" i="2"/>
  <c r="BT22" i="2"/>
  <c r="BT8" i="2"/>
  <c r="BT15" i="2"/>
  <c r="BT18" i="2"/>
  <c r="BT43" i="2"/>
  <c r="BT72" i="2"/>
  <c r="BT49" i="2"/>
  <c r="BT75" i="2"/>
  <c r="CD101" i="2"/>
  <c r="DR101" i="2"/>
  <c r="CX101" i="2"/>
  <c r="EL101" i="2"/>
  <c r="BJ101" i="2"/>
  <c r="BM102" i="2"/>
  <c r="BL59" i="2"/>
  <c r="BL102" i="2" s="1"/>
  <c r="CD84" i="2"/>
  <c r="EL84" i="2"/>
  <c r="BJ84" i="2"/>
  <c r="DR84" i="2"/>
  <c r="CX84" i="2"/>
  <c r="CX73" i="2"/>
  <c r="EL73" i="2"/>
  <c r="BJ73" i="2"/>
  <c r="DR73" i="2"/>
  <c r="CD73" i="2"/>
  <c r="IJ35" i="2"/>
  <c r="GH23" i="2"/>
  <c r="HP35" i="2"/>
  <c r="FX23" i="2"/>
  <c r="DR99" i="2"/>
  <c r="CX99" i="2"/>
  <c r="CD99" i="2"/>
  <c r="BJ99" i="2"/>
  <c r="EL99" i="2"/>
  <c r="BO102" i="2"/>
  <c r="AZ22" i="2" s="1"/>
  <c r="AB9" i="2"/>
  <c r="AE8" i="2"/>
  <c r="AA8" i="2"/>
  <c r="AC8" i="2"/>
  <c r="CD87" i="2"/>
  <c r="EL87" i="2"/>
  <c r="BJ87" i="2"/>
  <c r="DR87" i="2"/>
  <c r="CX87" i="2"/>
  <c r="DR72" i="2"/>
  <c r="CX72" i="2"/>
  <c r="CD72" i="2"/>
  <c r="BJ72" i="2"/>
  <c r="EL72" i="2"/>
  <c r="ID35" i="2"/>
  <c r="GE23" i="2"/>
  <c r="HR35" i="2"/>
  <c r="FY23" i="2"/>
  <c r="BT73" i="2"/>
  <c r="IH35" i="2"/>
  <c r="GG23" i="2"/>
  <c r="HG111" i="2"/>
  <c r="BT17" i="2"/>
  <c r="BT63" i="2"/>
  <c r="BT95" i="2"/>
  <c r="AE32" i="2"/>
  <c r="AD14" i="2"/>
  <c r="BT28" i="2"/>
  <c r="EL66" i="2"/>
  <c r="DR66" i="2"/>
  <c r="CD66" i="2"/>
  <c r="CX66" i="2"/>
  <c r="BJ66" i="2"/>
  <c r="HV35" i="2"/>
  <c r="GA23" i="2"/>
  <c r="IF35" i="2"/>
  <c r="GF23" i="2"/>
  <c r="AE9" i="2" l="1"/>
  <c r="AA9" i="2"/>
  <c r="AB10" i="2"/>
  <c r="AC9" i="2"/>
  <c r="IG35" i="2"/>
  <c r="HS35" i="2"/>
  <c r="BT51" i="2"/>
  <c r="AZ11" i="2" s="1"/>
  <c r="GS4" i="2"/>
  <c r="BT102" i="2"/>
  <c r="AZ27" i="2" s="1"/>
  <c r="HQ35" i="2"/>
  <c r="BU10" i="2"/>
  <c r="BU15" i="2"/>
  <c r="BU18" i="2"/>
  <c r="BU11" i="2"/>
  <c r="BU22" i="2"/>
  <c r="BU8" i="2"/>
  <c r="BU63" i="2"/>
  <c r="BU16" i="2"/>
  <c r="BU25" i="2"/>
  <c r="BU86" i="2"/>
  <c r="BU62" i="2"/>
  <c r="BU33" i="2"/>
  <c r="BU69" i="2"/>
  <c r="BU41" i="2"/>
  <c r="BU47" i="2"/>
  <c r="BU97" i="2"/>
  <c r="BU34" i="2"/>
  <c r="BU80" i="2"/>
  <c r="BU59" i="2"/>
  <c r="BU89" i="2"/>
  <c r="BU12" i="2"/>
  <c r="BU75" i="2"/>
  <c r="BU72" i="2"/>
  <c r="BU28" i="2"/>
  <c r="BU65" i="2"/>
  <c r="BU92" i="2"/>
  <c r="BU84" i="2"/>
  <c r="BU9" i="2"/>
  <c r="BU98" i="2"/>
  <c r="BU49" i="2"/>
  <c r="BU43" i="2"/>
  <c r="BU77" i="2"/>
  <c r="BU26" i="2"/>
  <c r="BU17" i="2"/>
  <c r="BU100" i="2"/>
  <c r="BU73" i="2"/>
  <c r="BU66" i="2"/>
  <c r="BU14" i="2"/>
  <c r="BU20" i="2"/>
  <c r="BU45" i="2"/>
  <c r="BU35" i="2"/>
  <c r="BU96" i="2"/>
  <c r="BU39" i="2"/>
  <c r="BU76" i="2"/>
  <c r="BU40" i="2"/>
  <c r="BU81" i="2"/>
  <c r="BU48" i="2"/>
  <c r="BU30" i="2"/>
  <c r="BU87" i="2"/>
  <c r="BU94" i="2"/>
  <c r="BU93" i="2"/>
  <c r="BU88" i="2"/>
  <c r="BU67" i="2"/>
  <c r="BU36" i="2"/>
  <c r="BU24" i="2"/>
  <c r="BU46" i="2"/>
  <c r="BU42" i="2"/>
  <c r="BU32" i="2"/>
  <c r="BU19" i="2"/>
  <c r="BU95" i="2"/>
  <c r="BU27" i="2"/>
  <c r="BU79" i="2"/>
  <c r="BU37" i="2"/>
  <c r="BU91" i="2"/>
  <c r="BU31" i="2"/>
  <c r="BU90" i="2"/>
  <c r="BU74" i="2"/>
  <c r="BU44" i="2"/>
  <c r="BU13" i="2"/>
  <c r="BU101" i="2"/>
  <c r="BU29" i="2"/>
  <c r="BU99" i="2"/>
  <c r="BU61" i="2"/>
  <c r="BU38" i="2"/>
  <c r="BU64" i="2"/>
  <c r="BU78" i="2"/>
  <c r="BU60" i="2"/>
  <c r="BU23" i="2"/>
  <c r="BU50" i="2"/>
  <c r="BU21" i="2"/>
  <c r="BU82" i="2"/>
  <c r="BU68" i="2"/>
  <c r="BU71" i="2"/>
  <c r="BU83" i="2"/>
  <c r="BU70" i="2"/>
  <c r="BU85" i="2"/>
  <c r="AE33" i="2"/>
  <c r="AD15" i="2"/>
  <c r="IK35" i="2"/>
  <c r="HU35" i="2"/>
  <c r="IA35" i="2"/>
  <c r="HW35" i="2"/>
  <c r="II35" i="2"/>
  <c r="IE35" i="2"/>
  <c r="AH8" i="2"/>
  <c r="FF6" i="2"/>
  <c r="AF8" i="2"/>
  <c r="FI208" i="2"/>
  <c r="FI35" i="2"/>
  <c r="FI33" i="2" s="1"/>
  <c r="HB24" i="2"/>
  <c r="FM208" i="2"/>
  <c r="FM35" i="2"/>
  <c r="FM33" i="2" s="1"/>
  <c r="FN208" i="2"/>
  <c r="FN35" i="2"/>
  <c r="FN33" i="2" s="1"/>
  <c r="FO210" i="2"/>
  <c r="FO216" i="2"/>
  <c r="FO41" i="2" s="1"/>
  <c r="Z10" i="2"/>
  <c r="AK9" i="2"/>
  <c r="AJ9" i="2" s="1"/>
  <c r="FR167" i="2"/>
  <c r="FF23" i="2"/>
  <c r="FQ208" i="2"/>
  <c r="FQ35" i="2"/>
  <c r="FQ33" i="2" s="1"/>
  <c r="GA50" i="2"/>
  <c r="GA81" i="2" s="1"/>
  <c r="GA112" i="2" s="1"/>
  <c r="GB19" i="2"/>
  <c r="FL208" i="2"/>
  <c r="FL35" i="2"/>
  <c r="FL33" i="2" s="1"/>
  <c r="FK208" i="2"/>
  <c r="FK35" i="2"/>
  <c r="FK33" i="2" s="1"/>
  <c r="AI20" i="2"/>
  <c r="AK8" i="2"/>
  <c r="FJ208" i="2"/>
  <c r="FJ35" i="2"/>
  <c r="FJ33" i="2" s="1"/>
  <c r="EW58" i="2"/>
  <c r="EC58" i="2"/>
  <c r="DI58" i="2"/>
  <c r="CO58" i="2"/>
  <c r="BU58" i="2"/>
  <c r="AD31" i="2"/>
  <c r="AY12" i="2"/>
  <c r="AY28" i="2" s="1"/>
  <c r="EW7" i="2"/>
  <c r="EC7" i="2"/>
  <c r="DI7" i="2"/>
  <c r="CO7" i="2"/>
  <c r="BU7" i="2"/>
  <c r="W15" i="2"/>
  <c r="FP208" i="2"/>
  <c r="FP35" i="2"/>
  <c r="FP33" i="2" s="1"/>
  <c r="FZ81" i="2"/>
  <c r="FR342" i="2"/>
  <c r="FF341" i="2"/>
  <c r="FR341" i="2" s="1"/>
  <c r="FG208" i="2"/>
  <c r="FG35" i="2"/>
  <c r="FG33" i="2" s="1"/>
  <c r="FH208" i="2"/>
  <c r="FH35" i="2"/>
  <c r="FH33" i="2" s="1"/>
  <c r="FF208" i="2"/>
  <c r="FF35" i="2"/>
  <c r="HY35" i="2"/>
  <c r="IC35" i="2"/>
  <c r="FF33" i="2" l="1"/>
  <c r="FR35" i="2"/>
  <c r="GY20" i="2"/>
  <c r="GY19" i="2" s="1"/>
  <c r="FR208" i="2"/>
  <c r="EX58" i="2"/>
  <c r="DJ58" i="2"/>
  <c r="BV58" i="2"/>
  <c r="ED58" i="2"/>
  <c r="CP58" i="2"/>
  <c r="AD32" i="2"/>
  <c r="W16" i="2"/>
  <c r="AY13" i="2"/>
  <c r="AY29" i="2" s="1"/>
  <c r="DJ7" i="2"/>
  <c r="BV7" i="2"/>
  <c r="CP7" i="2"/>
  <c r="EX7" i="2"/>
  <c r="ED7" i="2"/>
  <c r="BU102" i="2"/>
  <c r="AZ28" i="2" s="1"/>
  <c r="AK20" i="2"/>
  <c r="AJ8" i="2"/>
  <c r="AJ20" i="2" s="1"/>
  <c r="GB50" i="2"/>
  <c r="GC19" i="2"/>
  <c r="HN35" i="2"/>
  <c r="FR23" i="2"/>
  <c r="FW23" i="2"/>
  <c r="GI23" i="2" s="1"/>
  <c r="BV18" i="2"/>
  <c r="BV22" i="2"/>
  <c r="BV8" i="2"/>
  <c r="BV10" i="2"/>
  <c r="BV11" i="2"/>
  <c r="BV15" i="2"/>
  <c r="BV72" i="2"/>
  <c r="BV43" i="2"/>
  <c r="BV19" i="2"/>
  <c r="BV95" i="2"/>
  <c r="BV92" i="2"/>
  <c r="BV79" i="2"/>
  <c r="BV37" i="2"/>
  <c r="BV66" i="2"/>
  <c r="BV9" i="2"/>
  <c r="BV31" i="2"/>
  <c r="BV90" i="2"/>
  <c r="BV74" i="2"/>
  <c r="BV44" i="2"/>
  <c r="BV67" i="2"/>
  <c r="BV47" i="2"/>
  <c r="BV101" i="2"/>
  <c r="BV83" i="2"/>
  <c r="BV70" i="2"/>
  <c r="BV64" i="2"/>
  <c r="BV42" i="2"/>
  <c r="BV63" i="2"/>
  <c r="BV25" i="2"/>
  <c r="BV91" i="2"/>
  <c r="BV86" i="2"/>
  <c r="BV28" i="2"/>
  <c r="BV65" i="2"/>
  <c r="BV27" i="2"/>
  <c r="BV16" i="2"/>
  <c r="BV100" i="2"/>
  <c r="BV84" i="2"/>
  <c r="BV98" i="2"/>
  <c r="BV82" i="2"/>
  <c r="BV45" i="2"/>
  <c r="BV94" i="2"/>
  <c r="BV93" i="2"/>
  <c r="BV41" i="2"/>
  <c r="BV13" i="2"/>
  <c r="BV88" i="2"/>
  <c r="BV71" i="2"/>
  <c r="BV36" i="2"/>
  <c r="BV85" i="2"/>
  <c r="BV61" i="2"/>
  <c r="BV59" i="2"/>
  <c r="BV12" i="2"/>
  <c r="BV24" i="2"/>
  <c r="BV78" i="2"/>
  <c r="BV30" i="2"/>
  <c r="BV62" i="2"/>
  <c r="BV34" i="2"/>
  <c r="BV99" i="2"/>
  <c r="BV81" i="2"/>
  <c r="BV80" i="2"/>
  <c r="BV38" i="2"/>
  <c r="BV75" i="2"/>
  <c r="BV32" i="2"/>
  <c r="BV49" i="2"/>
  <c r="BV77" i="2"/>
  <c r="BV26" i="2"/>
  <c r="BV17" i="2"/>
  <c r="BV73" i="2"/>
  <c r="BV14" i="2"/>
  <c r="BV20" i="2"/>
  <c r="BV35" i="2"/>
  <c r="BV69" i="2"/>
  <c r="BV39" i="2"/>
  <c r="BV97" i="2"/>
  <c r="BV76" i="2"/>
  <c r="BV40" i="2"/>
  <c r="BV89" i="2"/>
  <c r="BV48" i="2"/>
  <c r="BV60" i="2"/>
  <c r="BV23" i="2"/>
  <c r="BV46" i="2"/>
  <c r="BV87" i="2"/>
  <c r="BV50" i="2"/>
  <c r="BV68" i="2"/>
  <c r="BV33" i="2"/>
  <c r="BV96" i="2"/>
  <c r="BV29" i="2"/>
  <c r="BV21" i="2"/>
  <c r="GO20" i="2"/>
  <c r="GO19" i="2" s="1"/>
  <c r="GR20" i="2"/>
  <c r="GR19" i="2" s="1"/>
  <c r="GS20" i="2"/>
  <c r="GS19" i="2" s="1"/>
  <c r="Z11" i="2"/>
  <c r="GP20" i="2"/>
  <c r="GP19" i="2" s="1"/>
  <c r="GX20" i="2"/>
  <c r="GX19" i="2" s="1"/>
  <c r="BU51" i="2"/>
  <c r="AZ12" i="2" s="1"/>
  <c r="GT4" i="2"/>
  <c r="GT20" i="2"/>
  <c r="GT19" i="2" s="1"/>
  <c r="GU20" i="2"/>
  <c r="GU19" i="2" s="1"/>
  <c r="FF199" i="2"/>
  <c r="FF183" i="2"/>
  <c r="FF7" i="2"/>
  <c r="FF9" i="2"/>
  <c r="GN7" i="2"/>
  <c r="AC10" i="2"/>
  <c r="AB11" i="2"/>
  <c r="AE10" i="2"/>
  <c r="AA10" i="2"/>
  <c r="AK10" i="2" s="1"/>
  <c r="AJ10" i="2" s="1"/>
  <c r="GQ20" i="2"/>
  <c r="GQ19" i="2" s="1"/>
  <c r="FO208" i="2"/>
  <c r="FO35" i="2"/>
  <c r="FO33" i="2" s="1"/>
  <c r="GV20" i="2"/>
  <c r="GV19" i="2" s="1"/>
  <c r="AE34" i="2"/>
  <c r="AD16" i="2"/>
  <c r="AH9" i="2"/>
  <c r="FG6" i="2"/>
  <c r="AF9" i="2"/>
  <c r="FG199" i="2" l="1"/>
  <c r="FG183" i="2"/>
  <c r="FG9" i="2"/>
  <c r="GO11" i="2" s="1"/>
  <c r="GO7" i="2"/>
  <c r="FG7" i="2"/>
  <c r="FG8" i="2" s="1"/>
  <c r="BV102" i="2"/>
  <c r="AZ29" i="2" s="1"/>
  <c r="EY58" i="2"/>
  <c r="DK58" i="2"/>
  <c r="BW58" i="2"/>
  <c r="EE58" i="2"/>
  <c r="CQ58" i="2"/>
  <c r="AD33" i="2"/>
  <c r="W17" i="2"/>
  <c r="AY14" i="2"/>
  <c r="AY30" i="2" s="1"/>
  <c r="EY7" i="2"/>
  <c r="EE7" i="2"/>
  <c r="DK7" i="2"/>
  <c r="CQ7" i="2"/>
  <c r="BW7" i="2"/>
  <c r="GC50" i="2"/>
  <c r="GC81" i="2" s="1"/>
  <c r="GC112" i="2" s="1"/>
  <c r="GD19" i="2"/>
  <c r="BV51" i="2"/>
  <c r="AZ13" i="2" s="1"/>
  <c r="GU4" i="2"/>
  <c r="AF10" i="2"/>
  <c r="AH10" i="2"/>
  <c r="FH6" i="2"/>
  <c r="GN6" i="2"/>
  <c r="GB81" i="2"/>
  <c r="FR33" i="2"/>
  <c r="GN20" i="2"/>
  <c r="AD17" i="2"/>
  <c r="AE35" i="2"/>
  <c r="HO35" i="2"/>
  <c r="IL35" i="2"/>
  <c r="GW20" i="2"/>
  <c r="GW19" i="2" s="1"/>
  <c r="FF8" i="2"/>
  <c r="BW10" i="2"/>
  <c r="BW18" i="2"/>
  <c r="BW8" i="2"/>
  <c r="BW15" i="2"/>
  <c r="BW11" i="2"/>
  <c r="BW22" i="2"/>
  <c r="BW32" i="2"/>
  <c r="BW49" i="2"/>
  <c r="BW19" i="2"/>
  <c r="BW95" i="2"/>
  <c r="BW100" i="2"/>
  <c r="BW66" i="2"/>
  <c r="BW14" i="2"/>
  <c r="BW31" i="2"/>
  <c r="BW69" i="2"/>
  <c r="BW47" i="2"/>
  <c r="BW39" i="2"/>
  <c r="BW83" i="2"/>
  <c r="BW80" i="2"/>
  <c r="BW38" i="2"/>
  <c r="BW64" i="2"/>
  <c r="BW75" i="2"/>
  <c r="BW42" i="2"/>
  <c r="BW77" i="2"/>
  <c r="BW65" i="2"/>
  <c r="BW16" i="2"/>
  <c r="BW92" i="2"/>
  <c r="BW37" i="2"/>
  <c r="BW25" i="2"/>
  <c r="BW73" i="2"/>
  <c r="BW72" i="2"/>
  <c r="BW28" i="2"/>
  <c r="BW63" i="2"/>
  <c r="BW79" i="2"/>
  <c r="BW91" i="2"/>
  <c r="BW84" i="2"/>
  <c r="BW9" i="2"/>
  <c r="BW82" i="2"/>
  <c r="BW62" i="2"/>
  <c r="BW33" i="2"/>
  <c r="BW93" i="2"/>
  <c r="BW44" i="2"/>
  <c r="BW41" i="2"/>
  <c r="BW88" i="2"/>
  <c r="BW96" i="2"/>
  <c r="BW71" i="2"/>
  <c r="BW36" i="2"/>
  <c r="BW101" i="2"/>
  <c r="BW81" i="2"/>
  <c r="BW85" i="2"/>
  <c r="BW61" i="2"/>
  <c r="BW59" i="2"/>
  <c r="BW24" i="2"/>
  <c r="BW78" i="2"/>
  <c r="BW46" i="2"/>
  <c r="BW30" i="2"/>
  <c r="BW50" i="2"/>
  <c r="BW67" i="2"/>
  <c r="BW70" i="2"/>
  <c r="BW12" i="2"/>
  <c r="BW21" i="2"/>
  <c r="BW43" i="2"/>
  <c r="BW27" i="2"/>
  <c r="BW26" i="2"/>
  <c r="BW17" i="2"/>
  <c r="BW20" i="2"/>
  <c r="BW86" i="2"/>
  <c r="BW98" i="2"/>
  <c r="BW68" i="2"/>
  <c r="BW45" i="2"/>
  <c r="BW35" i="2"/>
  <c r="BW94" i="2"/>
  <c r="BW90" i="2"/>
  <c r="BW74" i="2"/>
  <c r="BW13" i="2"/>
  <c r="BW40" i="2"/>
  <c r="BW29" i="2"/>
  <c r="BW89" i="2"/>
  <c r="BW48" i="2"/>
  <c r="BW60" i="2"/>
  <c r="BW23" i="2"/>
  <c r="BW87" i="2"/>
  <c r="BW97" i="2"/>
  <c r="BW76" i="2"/>
  <c r="BW34" i="2"/>
  <c r="BW99" i="2"/>
  <c r="AC11" i="2"/>
  <c r="AB12" i="2"/>
  <c r="AE11" i="2"/>
  <c r="AA11" i="2"/>
  <c r="AK11" i="2" s="1"/>
  <c r="AJ11" i="2" s="1"/>
  <c r="GN11" i="2"/>
  <c r="FF201" i="2"/>
  <c r="Z12" i="2"/>
  <c r="FG123" i="2" l="1"/>
  <c r="FG112" i="2"/>
  <c r="FG122" i="2"/>
  <c r="FG125" i="2"/>
  <c r="FG120" i="2"/>
  <c r="FG118" i="2"/>
  <c r="FG116" i="2"/>
  <c r="FG114" i="2"/>
  <c r="FG113" i="2"/>
  <c r="FG124" i="2"/>
  <c r="FG115" i="2"/>
  <c r="FG121" i="2"/>
  <c r="FG127" i="2"/>
  <c r="FG119" i="2"/>
  <c r="FG117" i="2"/>
  <c r="FG15" i="2"/>
  <c r="GO17" i="2" s="1"/>
  <c r="FG10" i="2"/>
  <c r="FF127" i="2"/>
  <c r="FF124" i="2"/>
  <c r="FF121" i="2"/>
  <c r="FF119" i="2"/>
  <c r="FF117" i="2"/>
  <c r="FF115" i="2"/>
  <c r="FF123" i="2"/>
  <c r="FF112" i="2"/>
  <c r="FF122" i="2"/>
  <c r="FF120" i="2"/>
  <c r="FF118" i="2"/>
  <c r="FF116" i="2"/>
  <c r="FF114" i="2"/>
  <c r="FF113" i="2"/>
  <c r="FF125" i="2"/>
  <c r="FF15" i="2"/>
  <c r="FF10" i="2"/>
  <c r="AH11" i="2"/>
  <c r="AF11" i="2"/>
  <c r="FI6" i="2"/>
  <c r="IM35" i="2"/>
  <c r="BX18" i="2"/>
  <c r="BX10" i="2"/>
  <c r="BX22" i="2"/>
  <c r="BX8" i="2"/>
  <c r="BX11" i="2"/>
  <c r="BX15" i="2"/>
  <c r="BX75" i="2"/>
  <c r="BX49" i="2"/>
  <c r="BX72" i="2"/>
  <c r="BX43" i="2"/>
  <c r="BX77" i="2"/>
  <c r="BX65" i="2"/>
  <c r="BX27" i="2"/>
  <c r="BX26" i="2"/>
  <c r="BX79" i="2"/>
  <c r="BX25" i="2"/>
  <c r="BX9" i="2"/>
  <c r="BX20" i="2"/>
  <c r="BX98" i="2"/>
  <c r="BX68" i="2"/>
  <c r="BX45" i="2"/>
  <c r="BX35" i="2"/>
  <c r="BX33" i="2"/>
  <c r="BX94" i="2"/>
  <c r="BX74" i="2"/>
  <c r="BX13" i="2"/>
  <c r="BX71" i="2"/>
  <c r="BX39" i="2"/>
  <c r="BX40" i="2"/>
  <c r="BX85" i="2"/>
  <c r="BX89" i="2"/>
  <c r="BX32" i="2"/>
  <c r="BX17" i="2"/>
  <c r="BX37" i="2"/>
  <c r="BX84" i="2"/>
  <c r="BX66" i="2"/>
  <c r="BX14" i="2"/>
  <c r="BX42" i="2"/>
  <c r="BX19" i="2"/>
  <c r="BX16" i="2"/>
  <c r="BX92" i="2"/>
  <c r="BX91" i="2"/>
  <c r="BX90" i="2"/>
  <c r="BX88" i="2"/>
  <c r="BX67" i="2"/>
  <c r="BX70" i="2"/>
  <c r="BX34" i="2"/>
  <c r="BX99" i="2"/>
  <c r="BX59" i="2"/>
  <c r="BX64" i="2"/>
  <c r="BX48" i="2"/>
  <c r="BX78" i="2"/>
  <c r="BX60" i="2"/>
  <c r="BX23" i="2"/>
  <c r="BX30" i="2"/>
  <c r="BX82" i="2"/>
  <c r="BX31" i="2"/>
  <c r="BX69" i="2"/>
  <c r="BX44" i="2"/>
  <c r="BX47" i="2"/>
  <c r="BX101" i="2"/>
  <c r="BX83" i="2"/>
  <c r="BX38" i="2"/>
  <c r="BX87" i="2"/>
  <c r="BX50" i="2"/>
  <c r="BX28" i="2"/>
  <c r="BX95" i="2"/>
  <c r="BX63" i="2"/>
  <c r="BX100" i="2"/>
  <c r="BX73" i="2"/>
  <c r="BX86" i="2"/>
  <c r="BX62" i="2"/>
  <c r="BX93" i="2"/>
  <c r="BX41" i="2"/>
  <c r="BX96" i="2"/>
  <c r="BX97" i="2"/>
  <c r="BX76" i="2"/>
  <c r="BX81" i="2"/>
  <c r="BX61" i="2"/>
  <c r="BX80" i="2"/>
  <c r="BX12" i="2"/>
  <c r="BX24" i="2"/>
  <c r="BX46" i="2"/>
  <c r="BX21" i="2"/>
  <c r="BX36" i="2"/>
  <c r="BX29" i="2"/>
  <c r="FH199" i="2"/>
  <c r="FH183" i="2"/>
  <c r="GP7" i="2"/>
  <c r="FH8" i="2"/>
  <c r="FH7" i="2"/>
  <c r="FH9" i="2"/>
  <c r="GD50" i="2"/>
  <c r="GE19" i="2"/>
  <c r="EZ58" i="2"/>
  <c r="EF58" i="2"/>
  <c r="DL58" i="2"/>
  <c r="CR58" i="2"/>
  <c r="BX58" i="2"/>
  <c r="AD34" i="2"/>
  <c r="W18" i="2"/>
  <c r="AY15" i="2"/>
  <c r="AY31" i="2" s="1"/>
  <c r="EZ7" i="2"/>
  <c r="EF7" i="2"/>
  <c r="DL7" i="2"/>
  <c r="CR7" i="2"/>
  <c r="BX7" i="2"/>
  <c r="BW102" i="2"/>
  <c r="AZ30" i="2" s="1"/>
  <c r="AE12" i="2"/>
  <c r="AA12" i="2"/>
  <c r="AB13" i="2"/>
  <c r="AC12" i="2"/>
  <c r="GN19" i="2"/>
  <c r="GZ20" i="2"/>
  <c r="GB112" i="2"/>
  <c r="FG206" i="2"/>
  <c r="FG201" i="2"/>
  <c r="FF357" i="2"/>
  <c r="FF204" i="2"/>
  <c r="FF202" i="2"/>
  <c r="FF203" i="2"/>
  <c r="AE36" i="2"/>
  <c r="AD19" i="2" s="1"/>
  <c r="AD18" i="2"/>
  <c r="Z13" i="2"/>
  <c r="AK12" i="2"/>
  <c r="AJ12" i="2" s="1"/>
  <c r="BW51" i="2"/>
  <c r="AZ14" i="2" s="1"/>
  <c r="GV4" i="2"/>
  <c r="GO6" i="2"/>
  <c r="FF302" i="2" l="1"/>
  <c r="FF281" i="2"/>
  <c r="FF333" i="2"/>
  <c r="FF310" i="2"/>
  <c r="FF205" i="2"/>
  <c r="FA58" i="2"/>
  <c r="EG58" i="2"/>
  <c r="DM58" i="2"/>
  <c r="CS58" i="2"/>
  <c r="BY58" i="2"/>
  <c r="AD35" i="2"/>
  <c r="W19" i="2"/>
  <c r="FA7" i="2"/>
  <c r="EG7" i="2"/>
  <c r="DM7" i="2"/>
  <c r="CS7" i="2"/>
  <c r="BY7" i="2"/>
  <c r="AY16" i="2"/>
  <c r="AY32" i="2" s="1"/>
  <c r="GE50" i="2"/>
  <c r="GE81" i="2" s="1"/>
  <c r="GE112" i="2" s="1"/>
  <c r="GF19" i="2"/>
  <c r="BY11" i="2"/>
  <c r="BY22" i="2"/>
  <c r="BY8" i="2"/>
  <c r="BY10" i="2"/>
  <c r="BY15" i="2"/>
  <c r="BY18" i="2"/>
  <c r="BY75" i="2"/>
  <c r="BY42" i="2"/>
  <c r="BY72" i="2"/>
  <c r="BY28" i="2"/>
  <c r="BY65" i="2"/>
  <c r="BY27" i="2"/>
  <c r="BY100" i="2"/>
  <c r="BY84" i="2"/>
  <c r="BY9" i="2"/>
  <c r="BY98" i="2"/>
  <c r="BY82" i="2"/>
  <c r="BY68" i="2"/>
  <c r="BY94" i="2"/>
  <c r="BY69" i="2"/>
  <c r="BY88" i="2"/>
  <c r="BY71" i="2"/>
  <c r="BY36" i="2"/>
  <c r="BY81" i="2"/>
  <c r="BY85" i="2"/>
  <c r="BY59" i="2"/>
  <c r="BY89" i="2"/>
  <c r="BY12" i="2"/>
  <c r="BY24" i="2"/>
  <c r="BY32" i="2"/>
  <c r="BY49" i="2"/>
  <c r="BY43" i="2"/>
  <c r="BY77" i="2"/>
  <c r="BY26" i="2"/>
  <c r="BY17" i="2"/>
  <c r="BY92" i="2"/>
  <c r="BY73" i="2"/>
  <c r="BY66" i="2"/>
  <c r="BY14" i="2"/>
  <c r="BY20" i="2"/>
  <c r="BY19" i="2"/>
  <c r="BY95" i="2"/>
  <c r="BY79" i="2"/>
  <c r="BY37" i="2"/>
  <c r="BY91" i="2"/>
  <c r="BY31" i="2"/>
  <c r="BY90" i="2"/>
  <c r="BY74" i="2"/>
  <c r="BY44" i="2"/>
  <c r="BY67" i="2"/>
  <c r="BY83" i="2"/>
  <c r="BY29" i="2"/>
  <c r="BY99" i="2"/>
  <c r="BY61" i="2"/>
  <c r="BY38" i="2"/>
  <c r="BY64" i="2"/>
  <c r="BY78" i="2"/>
  <c r="BY60" i="2"/>
  <c r="BY23" i="2"/>
  <c r="BY50" i="2"/>
  <c r="BY45" i="2"/>
  <c r="BY35" i="2"/>
  <c r="BY93" i="2"/>
  <c r="BY41" i="2"/>
  <c r="BY13" i="2"/>
  <c r="BY39" i="2"/>
  <c r="BY101" i="2"/>
  <c r="BY70" i="2"/>
  <c r="BY76" i="2"/>
  <c r="BY40" i="2"/>
  <c r="BY48" i="2"/>
  <c r="BY63" i="2"/>
  <c r="BY16" i="2"/>
  <c r="BY25" i="2"/>
  <c r="BY86" i="2"/>
  <c r="BY62" i="2"/>
  <c r="BY33" i="2"/>
  <c r="BY96" i="2"/>
  <c r="BY47" i="2"/>
  <c r="BY97" i="2"/>
  <c r="BY34" i="2"/>
  <c r="BY80" i="2"/>
  <c r="BY21" i="2"/>
  <c r="BY46" i="2"/>
  <c r="BY30" i="2"/>
  <c r="BY87" i="2"/>
  <c r="GD81" i="2"/>
  <c r="GP6" i="2"/>
  <c r="GN17" i="2"/>
  <c r="FF111" i="2"/>
  <c r="FG111" i="2"/>
  <c r="GO16" i="2" s="1"/>
  <c r="GO15" i="2" s="1"/>
  <c r="Z14" i="2"/>
  <c r="FG357" i="2"/>
  <c r="FG203" i="2"/>
  <c r="FG202" i="2"/>
  <c r="FG204" i="2"/>
  <c r="AH12" i="2"/>
  <c r="AF12" i="2"/>
  <c r="FJ6" i="2"/>
  <c r="FH127" i="2"/>
  <c r="FH122" i="2"/>
  <c r="FH125" i="2"/>
  <c r="FH120" i="2"/>
  <c r="FH118" i="2"/>
  <c r="FH116" i="2"/>
  <c r="FH114" i="2"/>
  <c r="FH113" i="2"/>
  <c r="FH121" i="2"/>
  <c r="FH119" i="2"/>
  <c r="FH117" i="2"/>
  <c r="FH115" i="2"/>
  <c r="FH124" i="2"/>
  <c r="FH123" i="2"/>
  <c r="FH112" i="2"/>
  <c r="FH15" i="2"/>
  <c r="GP17" i="2" s="1"/>
  <c r="FH10" i="2"/>
  <c r="BZ15" i="2"/>
  <c r="CH15" i="2" s="1"/>
  <c r="BZ18" i="2"/>
  <c r="CH18" i="2" s="1"/>
  <c r="BZ11" i="2"/>
  <c r="CH11" i="2" s="1"/>
  <c r="BZ22" i="2"/>
  <c r="CH22" i="2" s="1"/>
  <c r="BZ10" i="2"/>
  <c r="CH10" i="2" s="1"/>
  <c r="BZ8" i="2"/>
  <c r="CH8" i="2" s="1"/>
  <c r="BZ42" i="2"/>
  <c r="CH42" i="2" s="1"/>
  <c r="BZ72" i="2"/>
  <c r="CH72" i="2" s="1"/>
  <c r="BZ28" i="2"/>
  <c r="CH28" i="2" s="1"/>
  <c r="BZ63" i="2"/>
  <c r="CH63" i="2" s="1"/>
  <c r="BZ16" i="2"/>
  <c r="CH16" i="2" s="1"/>
  <c r="BZ25" i="2"/>
  <c r="CH25" i="2" s="1"/>
  <c r="BZ66" i="2"/>
  <c r="CH66" i="2" s="1"/>
  <c r="BZ86" i="2"/>
  <c r="CH86" i="2" s="1"/>
  <c r="BZ31" i="2"/>
  <c r="CH31" i="2" s="1"/>
  <c r="BZ67" i="2"/>
  <c r="CH67" i="2" s="1"/>
  <c r="BZ34" i="2"/>
  <c r="CH34" i="2" s="1"/>
  <c r="BZ99" i="2"/>
  <c r="CH99" i="2" s="1"/>
  <c r="BZ80" i="2"/>
  <c r="CH80" i="2" s="1"/>
  <c r="BZ38" i="2"/>
  <c r="CH38" i="2" s="1"/>
  <c r="BZ75" i="2"/>
  <c r="CH75" i="2" s="1"/>
  <c r="BZ65" i="2"/>
  <c r="CH65" i="2" s="1"/>
  <c r="BZ100" i="2"/>
  <c r="CH100" i="2" s="1"/>
  <c r="BZ84" i="2"/>
  <c r="CH84" i="2" s="1"/>
  <c r="BZ98" i="2"/>
  <c r="CH98" i="2" s="1"/>
  <c r="BZ82" i="2"/>
  <c r="CH82" i="2" s="1"/>
  <c r="BZ32" i="2"/>
  <c r="CH32" i="2" s="1"/>
  <c r="BZ49" i="2"/>
  <c r="CH49" i="2" s="1"/>
  <c r="BZ43" i="2"/>
  <c r="CH43" i="2" s="1"/>
  <c r="BZ77" i="2"/>
  <c r="CH77" i="2" s="1"/>
  <c r="BZ27" i="2"/>
  <c r="CH27" i="2" s="1"/>
  <c r="BZ26" i="2"/>
  <c r="CH26" i="2" s="1"/>
  <c r="BZ17" i="2"/>
  <c r="CH17" i="2" s="1"/>
  <c r="BZ73" i="2"/>
  <c r="CH73" i="2" s="1"/>
  <c r="BZ14" i="2"/>
  <c r="CH14" i="2" s="1"/>
  <c r="BZ20" i="2"/>
  <c r="CH20" i="2" s="1"/>
  <c r="BZ35" i="2"/>
  <c r="CH35" i="2" s="1"/>
  <c r="BZ33" i="2"/>
  <c r="CH33" i="2" s="1"/>
  <c r="BZ69" i="2"/>
  <c r="CH69" i="2" s="1"/>
  <c r="BZ39" i="2"/>
  <c r="CH39" i="2" s="1"/>
  <c r="BZ101" i="2"/>
  <c r="CH101" i="2" s="1"/>
  <c r="BZ76" i="2"/>
  <c r="CH76" i="2" s="1"/>
  <c r="BZ40" i="2"/>
  <c r="CH40" i="2" s="1"/>
  <c r="BZ81" i="2"/>
  <c r="CH81" i="2" s="1"/>
  <c r="BZ89" i="2"/>
  <c r="CH89" i="2" s="1"/>
  <c r="BZ48" i="2"/>
  <c r="CH48" i="2" s="1"/>
  <c r="BZ60" i="2"/>
  <c r="CH60" i="2" s="1"/>
  <c r="BZ23" i="2"/>
  <c r="CH23" i="2" s="1"/>
  <c r="BZ87" i="2"/>
  <c r="CH87" i="2" s="1"/>
  <c r="BZ94" i="2"/>
  <c r="CH94" i="2" s="1"/>
  <c r="BZ93" i="2"/>
  <c r="CH93" i="2" s="1"/>
  <c r="BZ71" i="2"/>
  <c r="CH71" i="2" s="1"/>
  <c r="BZ29" i="2"/>
  <c r="CH29" i="2" s="1"/>
  <c r="BZ24" i="2"/>
  <c r="CH24" i="2" s="1"/>
  <c r="BZ78" i="2"/>
  <c r="CH78" i="2" s="1"/>
  <c r="BZ19" i="2"/>
  <c r="CH19" i="2" s="1"/>
  <c r="BZ95" i="2"/>
  <c r="CH95" i="2" s="1"/>
  <c r="BZ92" i="2"/>
  <c r="CH92" i="2" s="1"/>
  <c r="BZ79" i="2"/>
  <c r="CH79" i="2" s="1"/>
  <c r="BZ37" i="2"/>
  <c r="CH37" i="2" s="1"/>
  <c r="BZ91" i="2"/>
  <c r="CH91" i="2" s="1"/>
  <c r="BZ9" i="2"/>
  <c r="CH9" i="2" s="1"/>
  <c r="BZ62" i="2"/>
  <c r="CH62" i="2" s="1"/>
  <c r="BZ68" i="2"/>
  <c r="CH68" i="2" s="1"/>
  <c r="BZ45" i="2"/>
  <c r="CH45" i="2" s="1"/>
  <c r="BZ90" i="2"/>
  <c r="CH90" i="2" s="1"/>
  <c r="BZ74" i="2"/>
  <c r="CH74" i="2" s="1"/>
  <c r="BZ44" i="2"/>
  <c r="CH44" i="2" s="1"/>
  <c r="BZ13" i="2"/>
  <c r="CH13" i="2" s="1"/>
  <c r="BZ47" i="2"/>
  <c r="CH47" i="2" s="1"/>
  <c r="BZ97" i="2"/>
  <c r="CH97" i="2" s="1"/>
  <c r="BZ83" i="2"/>
  <c r="CH83" i="2" s="1"/>
  <c r="BZ70" i="2"/>
  <c r="CH70" i="2" s="1"/>
  <c r="BZ12" i="2"/>
  <c r="CH12" i="2" s="1"/>
  <c r="BZ64" i="2"/>
  <c r="CH64" i="2" s="1"/>
  <c r="BZ50" i="2"/>
  <c r="CH50" i="2" s="1"/>
  <c r="BZ30" i="2"/>
  <c r="CH30" i="2" s="1"/>
  <c r="BZ21" i="2"/>
  <c r="CH21" i="2" s="1"/>
  <c r="BZ41" i="2"/>
  <c r="CH41" i="2" s="1"/>
  <c r="BZ88" i="2"/>
  <c r="CH88" i="2" s="1"/>
  <c r="BZ96" i="2"/>
  <c r="CH96" i="2" s="1"/>
  <c r="BZ36" i="2"/>
  <c r="CH36" i="2" s="1"/>
  <c r="BZ85" i="2"/>
  <c r="CH85" i="2" s="1"/>
  <c r="BZ61" i="2"/>
  <c r="CH61" i="2" s="1"/>
  <c r="BZ59" i="2"/>
  <c r="CH59" i="2" s="1"/>
  <c r="BZ46" i="2"/>
  <c r="CH46" i="2" s="1"/>
  <c r="AB14" i="2"/>
  <c r="AE13" i="2"/>
  <c r="AA13" i="2"/>
  <c r="AK13" i="2" s="1"/>
  <c r="AJ13" i="2" s="1"/>
  <c r="AC13" i="2"/>
  <c r="BX51" i="2"/>
  <c r="AZ15" i="2" s="1"/>
  <c r="GW4" i="2"/>
  <c r="BX102" i="2"/>
  <c r="AZ31" i="2" s="1"/>
  <c r="GP11" i="2"/>
  <c r="FG188" i="2"/>
  <c r="HB20" i="2"/>
  <c r="GZ19" i="2"/>
  <c r="FH206" i="2"/>
  <c r="FH201" i="2"/>
  <c r="FI199" i="2"/>
  <c r="FI183" i="2"/>
  <c r="FI9" i="2"/>
  <c r="GQ11" i="2" s="1"/>
  <c r="GQ7" i="2"/>
  <c r="FI8" i="2"/>
  <c r="FI7" i="2"/>
  <c r="FF188" i="2"/>
  <c r="FI125" i="2" l="1"/>
  <c r="FI120" i="2"/>
  <c r="FI118" i="2"/>
  <c r="FI116" i="2"/>
  <c r="FI114" i="2"/>
  <c r="FI113" i="2"/>
  <c r="FI127" i="2"/>
  <c r="FI124" i="2"/>
  <c r="FI121" i="2"/>
  <c r="FI119" i="2"/>
  <c r="FI117" i="2"/>
  <c r="FI115" i="2"/>
  <c r="FI123" i="2"/>
  <c r="FI112" i="2"/>
  <c r="FI122" i="2"/>
  <c r="FI15" i="2"/>
  <c r="GQ17" i="2" s="1"/>
  <c r="FI10" i="2"/>
  <c r="FI206" i="2"/>
  <c r="FI201" i="2"/>
  <c r="FH357" i="2"/>
  <c r="FH203" i="2"/>
  <c r="FH204" i="2"/>
  <c r="FH202" i="2"/>
  <c r="CG85" i="2"/>
  <c r="CF85" i="2" s="1"/>
  <c r="CT85" i="2"/>
  <c r="DB85" i="2" s="1"/>
  <c r="CJ85" i="2"/>
  <c r="CK85" i="2"/>
  <c r="CN85" i="2"/>
  <c r="CM85" i="2"/>
  <c r="CL85" i="2"/>
  <c r="CP85" i="2"/>
  <c r="CQ85" i="2"/>
  <c r="CS85" i="2"/>
  <c r="CI85" i="2"/>
  <c r="CO85" i="2"/>
  <c r="CR85" i="2"/>
  <c r="CG64" i="2"/>
  <c r="CF64" i="2" s="1"/>
  <c r="CT64" i="2"/>
  <c r="DB64" i="2" s="1"/>
  <c r="CP64" i="2"/>
  <c r="CK64" i="2"/>
  <c r="CN64" i="2"/>
  <c r="CJ64" i="2"/>
  <c r="CO64" i="2"/>
  <c r="CM64" i="2"/>
  <c r="CS64" i="2"/>
  <c r="CQ64" i="2"/>
  <c r="CI64" i="2"/>
  <c r="CL64" i="2"/>
  <c r="CR64" i="2"/>
  <c r="CG74" i="2"/>
  <c r="CF74" i="2" s="1"/>
  <c r="CP74" i="2"/>
  <c r="CJ74" i="2"/>
  <c r="CQ74" i="2"/>
  <c r="CO74" i="2"/>
  <c r="CK74" i="2"/>
  <c r="CN74" i="2"/>
  <c r="CL74" i="2"/>
  <c r="CM74" i="2"/>
  <c r="CT74" i="2"/>
  <c r="DB74" i="2" s="1"/>
  <c r="CI74" i="2"/>
  <c r="CS74" i="2"/>
  <c r="CR74" i="2"/>
  <c r="CG79" i="2"/>
  <c r="CF79" i="2" s="1"/>
  <c r="CP79" i="2"/>
  <c r="CL79" i="2"/>
  <c r="CN79" i="2"/>
  <c r="CM79" i="2"/>
  <c r="CJ79" i="2"/>
  <c r="CO79" i="2"/>
  <c r="CK79" i="2"/>
  <c r="CQ79" i="2"/>
  <c r="CI79" i="2"/>
  <c r="CT79" i="2"/>
  <c r="DB79" i="2" s="1"/>
  <c r="CS79" i="2"/>
  <c r="CR79" i="2"/>
  <c r="CG93" i="2"/>
  <c r="CF93" i="2" s="1"/>
  <c r="CM93" i="2"/>
  <c r="CP93" i="2"/>
  <c r="CL93" i="2"/>
  <c r="CK93" i="2"/>
  <c r="CT93" i="2"/>
  <c r="DB93" i="2" s="1"/>
  <c r="CQ93" i="2"/>
  <c r="CO93" i="2"/>
  <c r="CI93" i="2"/>
  <c r="CS93" i="2"/>
  <c r="CN93" i="2"/>
  <c r="CJ93" i="2"/>
  <c r="CR93" i="2"/>
  <c r="CG40" i="2"/>
  <c r="CF40" i="2" s="1"/>
  <c r="CI40" i="2"/>
  <c r="CM40" i="2"/>
  <c r="CN40" i="2"/>
  <c r="CQ40" i="2"/>
  <c r="CT40" i="2"/>
  <c r="DB40" i="2" s="1"/>
  <c r="CK40" i="2"/>
  <c r="CS40" i="2"/>
  <c r="CO40" i="2"/>
  <c r="CJ40" i="2"/>
  <c r="CL40" i="2"/>
  <c r="CP40" i="2"/>
  <c r="CR40" i="2"/>
  <c r="CG14" i="2"/>
  <c r="CF14" i="2" s="1"/>
  <c r="CQ14" i="2"/>
  <c r="CM14" i="2"/>
  <c r="CI14" i="2"/>
  <c r="CK14" i="2"/>
  <c r="CN14" i="2"/>
  <c r="CT14" i="2"/>
  <c r="DB14" i="2" s="1"/>
  <c r="CO14" i="2"/>
  <c r="CL14" i="2"/>
  <c r="CJ14" i="2"/>
  <c r="CP14" i="2"/>
  <c r="CS14" i="2"/>
  <c r="CR14" i="2"/>
  <c r="CG32" i="2"/>
  <c r="CF32" i="2" s="1"/>
  <c r="CK32" i="2"/>
  <c r="CQ32" i="2"/>
  <c r="CN32" i="2"/>
  <c r="CI32" i="2"/>
  <c r="CM32" i="2"/>
  <c r="CO32" i="2"/>
  <c r="CS32" i="2"/>
  <c r="CL32" i="2"/>
  <c r="CP32" i="2"/>
  <c r="CT32" i="2"/>
  <c r="DB32" i="2" s="1"/>
  <c r="CJ32" i="2"/>
  <c r="CR32" i="2"/>
  <c r="CG80" i="2"/>
  <c r="CF80" i="2" s="1"/>
  <c r="CK80" i="2"/>
  <c r="CT80" i="2"/>
  <c r="DB80" i="2" s="1"/>
  <c r="CQ80" i="2"/>
  <c r="CO80" i="2"/>
  <c r="CN80" i="2"/>
  <c r="CM80" i="2"/>
  <c r="CL80" i="2"/>
  <c r="CJ80" i="2"/>
  <c r="CP80" i="2"/>
  <c r="CS80" i="2"/>
  <c r="CI80" i="2"/>
  <c r="CR80" i="2"/>
  <c r="CG31" i="2"/>
  <c r="CF31" i="2" s="1"/>
  <c r="CI31" i="2"/>
  <c r="CM31" i="2"/>
  <c r="CQ31" i="2"/>
  <c r="CT31" i="2"/>
  <c r="DB31" i="2" s="1"/>
  <c r="CN31" i="2"/>
  <c r="CK31" i="2"/>
  <c r="CS31" i="2"/>
  <c r="CO31" i="2"/>
  <c r="CJ31" i="2"/>
  <c r="CL31" i="2"/>
  <c r="CP31" i="2"/>
  <c r="CR31" i="2"/>
  <c r="CG42" i="2"/>
  <c r="CF42" i="2" s="1"/>
  <c r="CM42" i="2"/>
  <c r="CK42" i="2"/>
  <c r="CQ42" i="2"/>
  <c r="CI42" i="2"/>
  <c r="CT42" i="2"/>
  <c r="DB42" i="2" s="1"/>
  <c r="CO42" i="2"/>
  <c r="CN42" i="2"/>
  <c r="CJ42" i="2"/>
  <c r="CL42" i="2"/>
  <c r="CS42" i="2"/>
  <c r="CP42" i="2"/>
  <c r="CR42" i="2"/>
  <c r="CG11" i="2"/>
  <c r="CF11" i="2" s="1"/>
  <c r="CI11" i="2"/>
  <c r="CM11" i="2"/>
  <c r="CK11" i="2"/>
  <c r="CN11" i="2"/>
  <c r="CT11" i="2"/>
  <c r="DB11" i="2" s="1"/>
  <c r="CS11" i="2"/>
  <c r="CL11" i="2"/>
  <c r="CQ11" i="2"/>
  <c r="CO11" i="2"/>
  <c r="CJ11" i="2"/>
  <c r="CP11" i="2"/>
  <c r="CR11" i="2"/>
  <c r="HP20" i="2"/>
  <c r="GQ6" i="2"/>
  <c r="CG46" i="2"/>
  <c r="CF46" i="2" s="1"/>
  <c r="CQ46" i="2"/>
  <c r="CM46" i="2"/>
  <c r="CN46" i="2"/>
  <c r="CI46" i="2"/>
  <c r="CS46" i="2"/>
  <c r="CO46" i="2"/>
  <c r="CT46" i="2"/>
  <c r="DB46" i="2" s="1"/>
  <c r="CL46" i="2"/>
  <c r="CK46" i="2"/>
  <c r="CJ46" i="2"/>
  <c r="CP46" i="2"/>
  <c r="CR46" i="2"/>
  <c r="CG36" i="2"/>
  <c r="CF36" i="2" s="1"/>
  <c r="CI36" i="2"/>
  <c r="CQ36" i="2"/>
  <c r="CT36" i="2"/>
  <c r="DB36" i="2" s="1"/>
  <c r="CM36" i="2"/>
  <c r="CK36" i="2"/>
  <c r="CS36" i="2"/>
  <c r="CN36" i="2"/>
  <c r="CP36" i="2"/>
  <c r="CL36" i="2"/>
  <c r="CO36" i="2"/>
  <c r="CJ36" i="2"/>
  <c r="CR36" i="2"/>
  <c r="CG21" i="2"/>
  <c r="CF21" i="2" s="1"/>
  <c r="CM21" i="2"/>
  <c r="CK21" i="2"/>
  <c r="CT21" i="2"/>
  <c r="DB21" i="2" s="1"/>
  <c r="CI21" i="2"/>
  <c r="CO21" i="2"/>
  <c r="CN21" i="2"/>
  <c r="CS21" i="2"/>
  <c r="CL21" i="2"/>
  <c r="CQ21" i="2"/>
  <c r="CP21" i="2"/>
  <c r="CJ21" i="2"/>
  <c r="CR21" i="2"/>
  <c r="CG12" i="2"/>
  <c r="CF12" i="2" s="1"/>
  <c r="CI12" i="2"/>
  <c r="CN12" i="2"/>
  <c r="CT12" i="2"/>
  <c r="DB12" i="2" s="1"/>
  <c r="CM12" i="2"/>
  <c r="CK12" i="2"/>
  <c r="CS12" i="2"/>
  <c r="CQ12" i="2"/>
  <c r="CJ12" i="2"/>
  <c r="CL12" i="2"/>
  <c r="CP12" i="2"/>
  <c r="CO12" i="2"/>
  <c r="CR12" i="2"/>
  <c r="CG47" i="2"/>
  <c r="CF47" i="2" s="1"/>
  <c r="CM47" i="2"/>
  <c r="CK47" i="2"/>
  <c r="CI47" i="2"/>
  <c r="CT47" i="2"/>
  <c r="DB47" i="2" s="1"/>
  <c r="CQ47" i="2"/>
  <c r="CO47" i="2"/>
  <c r="CN47" i="2"/>
  <c r="CS47" i="2"/>
  <c r="CJ47" i="2"/>
  <c r="CL47" i="2"/>
  <c r="CP47" i="2"/>
  <c r="CR47" i="2"/>
  <c r="CG90" i="2"/>
  <c r="CF90" i="2" s="1"/>
  <c r="CN90" i="2"/>
  <c r="CM90" i="2"/>
  <c r="CP90" i="2"/>
  <c r="CJ90" i="2"/>
  <c r="CK90" i="2"/>
  <c r="CT90" i="2"/>
  <c r="DB90" i="2" s="1"/>
  <c r="CQ90" i="2"/>
  <c r="CO90" i="2"/>
  <c r="CL90" i="2"/>
  <c r="CI90" i="2"/>
  <c r="CS90" i="2"/>
  <c r="CR90" i="2"/>
  <c r="CG9" i="2"/>
  <c r="CF9" i="2" s="1"/>
  <c r="CI9" i="2"/>
  <c r="CM9" i="2"/>
  <c r="CK9" i="2"/>
  <c r="CN9" i="2"/>
  <c r="CQ9" i="2"/>
  <c r="CO9" i="2"/>
  <c r="CT9" i="2"/>
  <c r="DB9" i="2" s="1"/>
  <c r="CP9" i="2"/>
  <c r="CJ9" i="2"/>
  <c r="CS9" i="2"/>
  <c r="CL9" i="2"/>
  <c r="CR9" i="2"/>
  <c r="CG92" i="2"/>
  <c r="CF92" i="2" s="1"/>
  <c r="CM92" i="2"/>
  <c r="CJ92" i="2"/>
  <c r="CQ92" i="2"/>
  <c r="CL92" i="2"/>
  <c r="CK92" i="2"/>
  <c r="CN92" i="2"/>
  <c r="CT92" i="2"/>
  <c r="DB92" i="2" s="1"/>
  <c r="CO92" i="2"/>
  <c r="CP92" i="2"/>
  <c r="CI92" i="2"/>
  <c r="CS92" i="2"/>
  <c r="CR92" i="2"/>
  <c r="CG24" i="2"/>
  <c r="CF24" i="2" s="1"/>
  <c r="CI24" i="2"/>
  <c r="CM24" i="2"/>
  <c r="CK24" i="2"/>
  <c r="CT24" i="2"/>
  <c r="DB24" i="2" s="1"/>
  <c r="CS24" i="2"/>
  <c r="CQ24" i="2"/>
  <c r="CN24" i="2"/>
  <c r="CO24" i="2"/>
  <c r="CJ24" i="2"/>
  <c r="CP24" i="2"/>
  <c r="CL24" i="2"/>
  <c r="CR24" i="2"/>
  <c r="CG94" i="2"/>
  <c r="CF94" i="2" s="1"/>
  <c r="CT94" i="2"/>
  <c r="DB94" i="2" s="1"/>
  <c r="CO94" i="2"/>
  <c r="CJ94" i="2"/>
  <c r="CK94" i="2"/>
  <c r="CN94" i="2"/>
  <c r="CM94" i="2"/>
  <c r="CP94" i="2"/>
  <c r="CL94" i="2"/>
  <c r="CS94" i="2"/>
  <c r="CQ94" i="2"/>
  <c r="CI94" i="2"/>
  <c r="CR94" i="2"/>
  <c r="CG48" i="2"/>
  <c r="CF48" i="2" s="1"/>
  <c r="CQ48" i="2"/>
  <c r="CN48" i="2"/>
  <c r="CO48" i="2"/>
  <c r="CI48" i="2"/>
  <c r="CK48" i="2"/>
  <c r="CS48" i="2"/>
  <c r="CM48" i="2"/>
  <c r="CJ48" i="2"/>
  <c r="CP48" i="2"/>
  <c r="CL48" i="2"/>
  <c r="CT48" i="2"/>
  <c r="DB48" i="2" s="1"/>
  <c r="CR48" i="2"/>
  <c r="CG76" i="2"/>
  <c r="CF76" i="2" s="1"/>
  <c r="CK76" i="2"/>
  <c r="CM76" i="2"/>
  <c r="CP76" i="2"/>
  <c r="CJ76" i="2"/>
  <c r="CN76" i="2"/>
  <c r="CT76" i="2"/>
  <c r="DB76" i="2" s="1"/>
  <c r="CQ76" i="2"/>
  <c r="CO76" i="2"/>
  <c r="CL76" i="2"/>
  <c r="CI76" i="2"/>
  <c r="CS76" i="2"/>
  <c r="CR76" i="2"/>
  <c r="CG33" i="2"/>
  <c r="CF33" i="2" s="1"/>
  <c r="CT33" i="2"/>
  <c r="DB33" i="2" s="1"/>
  <c r="CQ33" i="2"/>
  <c r="CK33" i="2"/>
  <c r="CN33" i="2"/>
  <c r="CS33" i="2"/>
  <c r="CI33" i="2"/>
  <c r="CM33" i="2"/>
  <c r="CO33" i="2"/>
  <c r="CP33" i="2"/>
  <c r="CJ33" i="2"/>
  <c r="CL33" i="2"/>
  <c r="CR33" i="2"/>
  <c r="CG73" i="2"/>
  <c r="CF73" i="2" s="1"/>
  <c r="CM73" i="2"/>
  <c r="CP73" i="2"/>
  <c r="CT73" i="2"/>
  <c r="DB73" i="2" s="1"/>
  <c r="CK73" i="2"/>
  <c r="CN73" i="2"/>
  <c r="CJ73" i="2"/>
  <c r="CO73" i="2"/>
  <c r="CS73" i="2"/>
  <c r="CQ73" i="2"/>
  <c r="CL73" i="2"/>
  <c r="CI73" i="2"/>
  <c r="CR73" i="2"/>
  <c r="CG77" i="2"/>
  <c r="CF77" i="2" s="1"/>
  <c r="CK77" i="2"/>
  <c r="CL77" i="2"/>
  <c r="CN77" i="2"/>
  <c r="CT77" i="2"/>
  <c r="DB77" i="2" s="1"/>
  <c r="CJ77" i="2"/>
  <c r="CQ77" i="2"/>
  <c r="CO77" i="2"/>
  <c r="CI77" i="2"/>
  <c r="CS77" i="2"/>
  <c r="CM77" i="2"/>
  <c r="CP77" i="2"/>
  <c r="CR77" i="2"/>
  <c r="CG82" i="2"/>
  <c r="CF82" i="2" s="1"/>
  <c r="CT82" i="2"/>
  <c r="DB82" i="2" s="1"/>
  <c r="CK82" i="2"/>
  <c r="CP82" i="2"/>
  <c r="CO82" i="2"/>
  <c r="CN82" i="2"/>
  <c r="CL82" i="2"/>
  <c r="CM82" i="2"/>
  <c r="CJ82" i="2"/>
  <c r="CQ82" i="2"/>
  <c r="CI82" i="2"/>
  <c r="CS82" i="2"/>
  <c r="CR82" i="2"/>
  <c r="CG65" i="2"/>
  <c r="CF65" i="2" s="1"/>
  <c r="CK65" i="2"/>
  <c r="CM65" i="2"/>
  <c r="CQ65" i="2"/>
  <c r="CL65" i="2"/>
  <c r="CJ65" i="2"/>
  <c r="CO65" i="2"/>
  <c r="CT65" i="2"/>
  <c r="DB65" i="2" s="1"/>
  <c r="CP65" i="2"/>
  <c r="CS65" i="2"/>
  <c r="CN65" i="2"/>
  <c r="CI65" i="2"/>
  <c r="CR65" i="2"/>
  <c r="CG99" i="2"/>
  <c r="CF99" i="2" s="1"/>
  <c r="CP99" i="2"/>
  <c r="CJ99" i="2"/>
  <c r="CL99" i="2"/>
  <c r="CK99" i="2"/>
  <c r="CT99" i="2"/>
  <c r="DB99" i="2" s="1"/>
  <c r="CQ99" i="2"/>
  <c r="CM99" i="2"/>
  <c r="CO99" i="2"/>
  <c r="CS99" i="2"/>
  <c r="CN99" i="2"/>
  <c r="CI99" i="2"/>
  <c r="CR99" i="2"/>
  <c r="CG86" i="2"/>
  <c r="CF86" i="2" s="1"/>
  <c r="CK86" i="2"/>
  <c r="CT86" i="2"/>
  <c r="DB86" i="2" s="1"/>
  <c r="CP86" i="2"/>
  <c r="CQ86" i="2"/>
  <c r="CO86" i="2"/>
  <c r="CL86" i="2"/>
  <c r="CJ86" i="2"/>
  <c r="CN86" i="2"/>
  <c r="CM86" i="2"/>
  <c r="CI86" i="2"/>
  <c r="CS86" i="2"/>
  <c r="CR86" i="2"/>
  <c r="CG63" i="2"/>
  <c r="CF63" i="2" s="1"/>
  <c r="CP63" i="2"/>
  <c r="CJ63" i="2"/>
  <c r="CO63" i="2"/>
  <c r="CK63" i="2"/>
  <c r="CM63" i="2"/>
  <c r="CQ63" i="2"/>
  <c r="CN63" i="2"/>
  <c r="CL63" i="2"/>
  <c r="CI63" i="2"/>
  <c r="CS63" i="2"/>
  <c r="CT63" i="2"/>
  <c r="DB63" i="2" s="1"/>
  <c r="CR63" i="2"/>
  <c r="CH51" i="2"/>
  <c r="CG8" i="2"/>
  <c r="CK8" i="2"/>
  <c r="CK51" i="2" s="1"/>
  <c r="BA8" i="2" s="1"/>
  <c r="BE8" i="2" s="1"/>
  <c r="CI8" i="2"/>
  <c r="CI51" i="2" s="1"/>
  <c r="BA6" i="2" s="1"/>
  <c r="CQ8" i="2"/>
  <c r="CQ51" i="2" s="1"/>
  <c r="BA14" i="2" s="1"/>
  <c r="BE14" i="2" s="1"/>
  <c r="CT8" i="2"/>
  <c r="DB8" i="2" s="1"/>
  <c r="CO8" i="2"/>
  <c r="CO51" i="2" s="1"/>
  <c r="BA12" i="2" s="1"/>
  <c r="BE12" i="2" s="1"/>
  <c r="CJ8" i="2"/>
  <c r="CJ51" i="2" s="1"/>
  <c r="BA7" i="2" s="1"/>
  <c r="BE7" i="2" s="1"/>
  <c r="CM8" i="2"/>
  <c r="CM51" i="2" s="1"/>
  <c r="BA10" i="2" s="1"/>
  <c r="BE10" i="2" s="1"/>
  <c r="CS8" i="2"/>
  <c r="CL8" i="2"/>
  <c r="CL51" i="2" s="1"/>
  <c r="BA9" i="2" s="1"/>
  <c r="BE9" i="2" s="1"/>
  <c r="CN8" i="2"/>
  <c r="CN51" i="2" s="1"/>
  <c r="BA11" i="2" s="1"/>
  <c r="BE11" i="2" s="1"/>
  <c r="CP8" i="2"/>
  <c r="CP51" i="2" s="1"/>
  <c r="BA13" i="2" s="1"/>
  <c r="BE13" i="2" s="1"/>
  <c r="CR8" i="2"/>
  <c r="CR51" i="2" s="1"/>
  <c r="BA15" i="2" s="1"/>
  <c r="CG18" i="2"/>
  <c r="CF18" i="2" s="1"/>
  <c r="CI18" i="2"/>
  <c r="CQ18" i="2"/>
  <c r="CK18" i="2"/>
  <c r="CT18" i="2"/>
  <c r="DB18" i="2" s="1"/>
  <c r="CM18" i="2"/>
  <c r="CS18" i="2"/>
  <c r="CO18" i="2"/>
  <c r="CL18" i="2"/>
  <c r="CP18" i="2"/>
  <c r="CN18" i="2"/>
  <c r="CJ18" i="2"/>
  <c r="CR18" i="2"/>
  <c r="FH111" i="2"/>
  <c r="GP16" i="2" s="1"/>
  <c r="GP15" i="2" s="1"/>
  <c r="GF50" i="2"/>
  <c r="GF81" i="2" s="1"/>
  <c r="GF112" i="2" s="1"/>
  <c r="GG19" i="2"/>
  <c r="CS51" i="2"/>
  <c r="BA16" i="2" s="1"/>
  <c r="EH58" i="2"/>
  <c r="CT58" i="2"/>
  <c r="AD36" i="2"/>
  <c r="FB58" i="2"/>
  <c r="DN58" i="2"/>
  <c r="BZ58" i="2"/>
  <c r="BZ102" i="2" s="1"/>
  <c r="AZ33" i="2" s="1"/>
  <c r="AY17" i="2"/>
  <c r="AY33" i="2" s="1"/>
  <c r="FB7" i="2"/>
  <c r="EH7" i="2"/>
  <c r="CT7" i="2"/>
  <c r="CT51" i="2" s="1"/>
  <c r="BA17" i="2" s="1"/>
  <c r="BZ7" i="2"/>
  <c r="DN7" i="2"/>
  <c r="FF275" i="2"/>
  <c r="FF106" i="2"/>
  <c r="CG41" i="2"/>
  <c r="CF41" i="2" s="1"/>
  <c r="CQ41" i="2"/>
  <c r="CI41" i="2"/>
  <c r="CT41" i="2"/>
  <c r="DB41" i="2" s="1"/>
  <c r="CO41" i="2"/>
  <c r="CM41" i="2"/>
  <c r="CK41" i="2"/>
  <c r="CJ41" i="2"/>
  <c r="CP41" i="2"/>
  <c r="CN41" i="2"/>
  <c r="CS41" i="2"/>
  <c r="CL41" i="2"/>
  <c r="CR41" i="2"/>
  <c r="CG97" i="2"/>
  <c r="CF97" i="2" s="1"/>
  <c r="CK97" i="2"/>
  <c r="CT97" i="2"/>
  <c r="DB97" i="2" s="1"/>
  <c r="CJ97" i="2"/>
  <c r="CQ97" i="2"/>
  <c r="CO97" i="2"/>
  <c r="CP97" i="2"/>
  <c r="CL97" i="2"/>
  <c r="CM97" i="2"/>
  <c r="CS97" i="2"/>
  <c r="CN97" i="2"/>
  <c r="CI97" i="2"/>
  <c r="CR97" i="2"/>
  <c r="CG62" i="2"/>
  <c r="CF62" i="2" s="1"/>
  <c r="CK62" i="2"/>
  <c r="CN62" i="2"/>
  <c r="CM62" i="2"/>
  <c r="CP62" i="2"/>
  <c r="CQ62" i="2"/>
  <c r="CL62" i="2"/>
  <c r="CT62" i="2"/>
  <c r="DB62" i="2" s="1"/>
  <c r="CJ62" i="2"/>
  <c r="CO62" i="2"/>
  <c r="CI62" i="2"/>
  <c r="CS62" i="2"/>
  <c r="CR62" i="2"/>
  <c r="CG78" i="2"/>
  <c r="CF78" i="2" s="1"/>
  <c r="CN78" i="2"/>
  <c r="CM78" i="2"/>
  <c r="CJ78" i="2"/>
  <c r="CO78" i="2"/>
  <c r="CP78" i="2"/>
  <c r="CQ78" i="2"/>
  <c r="CK78" i="2"/>
  <c r="CT78" i="2"/>
  <c r="DB78" i="2" s="1"/>
  <c r="CS78" i="2"/>
  <c r="CI78" i="2"/>
  <c r="CL78" i="2"/>
  <c r="CR78" i="2"/>
  <c r="CG60" i="2"/>
  <c r="CF60" i="2" s="1"/>
  <c r="CQ60" i="2"/>
  <c r="CO60" i="2"/>
  <c r="CL60" i="2"/>
  <c r="CK60" i="2"/>
  <c r="CN60" i="2"/>
  <c r="CT60" i="2"/>
  <c r="DB60" i="2" s="1"/>
  <c r="CP60" i="2"/>
  <c r="CM60" i="2"/>
  <c r="CS60" i="2"/>
  <c r="CJ60" i="2"/>
  <c r="CI60" i="2"/>
  <c r="CR60" i="2"/>
  <c r="CG69" i="2"/>
  <c r="CF69" i="2" s="1"/>
  <c r="CK69" i="2"/>
  <c r="CN69" i="2"/>
  <c r="CL69" i="2"/>
  <c r="CP69" i="2"/>
  <c r="CM69" i="2"/>
  <c r="CJ69" i="2"/>
  <c r="CS69" i="2"/>
  <c r="CT69" i="2"/>
  <c r="DB69" i="2" s="1"/>
  <c r="CQ69" i="2"/>
  <c r="CO69" i="2"/>
  <c r="CI69" i="2"/>
  <c r="CR69" i="2"/>
  <c r="CG27" i="2"/>
  <c r="CF27" i="2" s="1"/>
  <c r="CQ27" i="2"/>
  <c r="CK27" i="2"/>
  <c r="CN27" i="2"/>
  <c r="CT27" i="2"/>
  <c r="DB27" i="2" s="1"/>
  <c r="CI27" i="2"/>
  <c r="CM27" i="2"/>
  <c r="CO27" i="2"/>
  <c r="CJ27" i="2"/>
  <c r="CS27" i="2"/>
  <c r="CP27" i="2"/>
  <c r="CL27" i="2"/>
  <c r="CR27" i="2"/>
  <c r="CG100" i="2"/>
  <c r="CF100" i="2" s="1"/>
  <c r="CO100" i="2"/>
  <c r="CK100" i="2"/>
  <c r="CN100" i="2"/>
  <c r="CM100" i="2"/>
  <c r="CP100" i="2"/>
  <c r="CJ100" i="2"/>
  <c r="CQ100" i="2"/>
  <c r="CL100" i="2"/>
  <c r="CT100" i="2"/>
  <c r="DB100" i="2" s="1"/>
  <c r="CI100" i="2"/>
  <c r="CS100" i="2"/>
  <c r="CR100" i="2"/>
  <c r="CG16" i="2"/>
  <c r="CF16" i="2" s="1"/>
  <c r="CM16" i="2"/>
  <c r="CI16" i="2"/>
  <c r="CK16" i="2"/>
  <c r="CN16" i="2"/>
  <c r="CT16" i="2"/>
  <c r="DB16" i="2" s="1"/>
  <c r="CS16" i="2"/>
  <c r="CQ16" i="2"/>
  <c r="CO16" i="2"/>
  <c r="CL16" i="2"/>
  <c r="CP16" i="2"/>
  <c r="CJ16" i="2"/>
  <c r="CR16" i="2"/>
  <c r="FG333" i="2"/>
  <c r="FG158" i="2" s="1"/>
  <c r="FG302" i="2"/>
  <c r="FG310" i="2"/>
  <c r="FG135" i="2" s="1"/>
  <c r="FG281" i="2"/>
  <c r="FG205" i="2"/>
  <c r="GD112" i="2"/>
  <c r="BY51" i="2"/>
  <c r="AZ16" i="2" s="1"/>
  <c r="BE16" i="2" s="1"/>
  <c r="GX4" i="2"/>
  <c r="FF362" i="2"/>
  <c r="AH13" i="2"/>
  <c r="FK6" i="2"/>
  <c r="AF13" i="2"/>
  <c r="CG59" i="2"/>
  <c r="CF59" i="2" s="1"/>
  <c r="CN59" i="2"/>
  <c r="CN102" i="2" s="1"/>
  <c r="BA27" i="2" s="1"/>
  <c r="CT59" i="2"/>
  <c r="DB59" i="2" s="1"/>
  <c r="CP59" i="2"/>
  <c r="CP102" i="2" s="1"/>
  <c r="BA29" i="2" s="1"/>
  <c r="CK59" i="2"/>
  <c r="CK102" i="2" s="1"/>
  <c r="BA24" i="2" s="1"/>
  <c r="CQ59" i="2"/>
  <c r="CQ102" i="2" s="1"/>
  <c r="BA30" i="2" s="1"/>
  <c r="CO59" i="2"/>
  <c r="CO102" i="2" s="1"/>
  <c r="BA28" i="2" s="1"/>
  <c r="CL59" i="2"/>
  <c r="CL102" i="2" s="1"/>
  <c r="BA25" i="2" s="1"/>
  <c r="CM59" i="2"/>
  <c r="CM102" i="2" s="1"/>
  <c r="BA26" i="2" s="1"/>
  <c r="CJ59" i="2"/>
  <c r="CJ102" i="2" s="1"/>
  <c r="BA23" i="2" s="1"/>
  <c r="CI59" i="2"/>
  <c r="CI102" i="2" s="1"/>
  <c r="BA22" i="2" s="1"/>
  <c r="CS59" i="2"/>
  <c r="CS102" i="2" s="1"/>
  <c r="BA32" i="2" s="1"/>
  <c r="GG6" i="2" s="1"/>
  <c r="CR59" i="2"/>
  <c r="CR102" i="2" s="1"/>
  <c r="BA31" i="2" s="1"/>
  <c r="GF6" i="2" s="1"/>
  <c r="CG96" i="2"/>
  <c r="CF96" i="2" s="1"/>
  <c r="CM96" i="2"/>
  <c r="CK96" i="2"/>
  <c r="CT96" i="2"/>
  <c r="DB96" i="2" s="1"/>
  <c r="CQ96" i="2"/>
  <c r="CO96" i="2"/>
  <c r="CN96" i="2"/>
  <c r="CP96" i="2"/>
  <c r="CI96" i="2"/>
  <c r="CJ96" i="2"/>
  <c r="CL96" i="2"/>
  <c r="CS96" i="2"/>
  <c r="CR96" i="2"/>
  <c r="CG30" i="2"/>
  <c r="CF30" i="2" s="1"/>
  <c r="CM30" i="2"/>
  <c r="CI30" i="2"/>
  <c r="CQ30" i="2"/>
  <c r="CK30" i="2"/>
  <c r="CT30" i="2"/>
  <c r="DB30" i="2" s="1"/>
  <c r="CS30" i="2"/>
  <c r="CO30" i="2"/>
  <c r="CN30" i="2"/>
  <c r="CP30" i="2"/>
  <c r="CL30" i="2"/>
  <c r="CJ30" i="2"/>
  <c r="CR30" i="2"/>
  <c r="CG70" i="2"/>
  <c r="CF70" i="2" s="1"/>
  <c r="CT70" i="2"/>
  <c r="DB70" i="2" s="1"/>
  <c r="CJ70" i="2"/>
  <c r="CQ70" i="2"/>
  <c r="CO70" i="2"/>
  <c r="CM70" i="2"/>
  <c r="CK70" i="2"/>
  <c r="CN70" i="2"/>
  <c r="CL70" i="2"/>
  <c r="CI70" i="2"/>
  <c r="CS70" i="2"/>
  <c r="CP70" i="2"/>
  <c r="CR70" i="2"/>
  <c r="CG13" i="2"/>
  <c r="CF13" i="2" s="1"/>
  <c r="CQ13" i="2"/>
  <c r="CI13" i="2"/>
  <c r="CM13" i="2"/>
  <c r="CK13" i="2"/>
  <c r="CT13" i="2"/>
  <c r="DB13" i="2" s="1"/>
  <c r="CS13" i="2"/>
  <c r="CN13" i="2"/>
  <c r="CO13" i="2"/>
  <c r="CL13" i="2"/>
  <c r="CP13" i="2"/>
  <c r="CJ13" i="2"/>
  <c r="CR13" i="2"/>
  <c r="CG45" i="2"/>
  <c r="CF45" i="2" s="1"/>
  <c r="CI45" i="2"/>
  <c r="CK45" i="2"/>
  <c r="CQ45" i="2"/>
  <c r="CT45" i="2"/>
  <c r="DB45" i="2" s="1"/>
  <c r="CO45" i="2"/>
  <c r="CM45" i="2"/>
  <c r="CN45" i="2"/>
  <c r="CS45" i="2"/>
  <c r="CL45" i="2"/>
  <c r="CP45" i="2"/>
  <c r="CJ45" i="2"/>
  <c r="CR45" i="2"/>
  <c r="CG91" i="2"/>
  <c r="CF91" i="2" s="1"/>
  <c r="CK91" i="2"/>
  <c r="CQ91" i="2"/>
  <c r="CL91" i="2"/>
  <c r="CN91" i="2"/>
  <c r="CM91" i="2"/>
  <c r="CT91" i="2"/>
  <c r="DB91" i="2" s="1"/>
  <c r="CO91" i="2"/>
  <c r="CP91" i="2"/>
  <c r="CJ91" i="2"/>
  <c r="CS91" i="2"/>
  <c r="CI91" i="2"/>
  <c r="CR91" i="2"/>
  <c r="CG95" i="2"/>
  <c r="CF95" i="2" s="1"/>
  <c r="CN95" i="2"/>
  <c r="CK95" i="2"/>
  <c r="CM95" i="2"/>
  <c r="CP95" i="2"/>
  <c r="CJ95" i="2"/>
  <c r="CL95" i="2"/>
  <c r="CO95" i="2"/>
  <c r="CT95" i="2"/>
  <c r="DB95" i="2" s="1"/>
  <c r="CI95" i="2"/>
  <c r="CS95" i="2"/>
  <c r="CQ95" i="2"/>
  <c r="CR95" i="2"/>
  <c r="CG29" i="2"/>
  <c r="CF29" i="2" s="1"/>
  <c r="CI29" i="2"/>
  <c r="CO29" i="2"/>
  <c r="CQ29" i="2"/>
  <c r="CK29" i="2"/>
  <c r="CN29" i="2"/>
  <c r="CT29" i="2"/>
  <c r="DB29" i="2" s="1"/>
  <c r="CM29" i="2"/>
  <c r="CS29" i="2"/>
  <c r="CP29" i="2"/>
  <c r="CL29" i="2"/>
  <c r="CJ29" i="2"/>
  <c r="CR29" i="2"/>
  <c r="CG87" i="2"/>
  <c r="CF87" i="2" s="1"/>
  <c r="CK87" i="2"/>
  <c r="CP87" i="2"/>
  <c r="CO87" i="2"/>
  <c r="CT87" i="2"/>
  <c r="DB87" i="2" s="1"/>
  <c r="CQ87" i="2"/>
  <c r="CJ87" i="2"/>
  <c r="CL87" i="2"/>
  <c r="CM87" i="2"/>
  <c r="CN87" i="2"/>
  <c r="CS87" i="2"/>
  <c r="CI87" i="2"/>
  <c r="CR87" i="2"/>
  <c r="CG89" i="2"/>
  <c r="CF89" i="2" s="1"/>
  <c r="CJ89" i="2"/>
  <c r="CQ89" i="2"/>
  <c r="CL89" i="2"/>
  <c r="CK89" i="2"/>
  <c r="CN89" i="2"/>
  <c r="CP89" i="2"/>
  <c r="CM89" i="2"/>
  <c r="CT89" i="2"/>
  <c r="DB89" i="2" s="1"/>
  <c r="CO89" i="2"/>
  <c r="CS89" i="2"/>
  <c r="CI89" i="2"/>
  <c r="CR89" i="2"/>
  <c r="CG101" i="2"/>
  <c r="CF101" i="2" s="1"/>
  <c r="CN101" i="2"/>
  <c r="CT101" i="2"/>
  <c r="DB101" i="2" s="1"/>
  <c r="CP101" i="2"/>
  <c r="CO101" i="2"/>
  <c r="CK101" i="2"/>
  <c r="CL101" i="2"/>
  <c r="CQ101" i="2"/>
  <c r="CM101" i="2"/>
  <c r="CJ101" i="2"/>
  <c r="CI101" i="2"/>
  <c r="CS101" i="2"/>
  <c r="CR101" i="2"/>
  <c r="CG35" i="2"/>
  <c r="CF35" i="2" s="1"/>
  <c r="CI35" i="2"/>
  <c r="CT35" i="2"/>
  <c r="DB35" i="2" s="1"/>
  <c r="CQ35" i="2"/>
  <c r="CK35" i="2"/>
  <c r="CS35" i="2"/>
  <c r="CM35" i="2"/>
  <c r="CN35" i="2"/>
  <c r="CO35" i="2"/>
  <c r="CL35" i="2"/>
  <c r="CP35" i="2"/>
  <c r="CJ35" i="2"/>
  <c r="CR35" i="2"/>
  <c r="CG17" i="2"/>
  <c r="CF17" i="2" s="1"/>
  <c r="CI17" i="2"/>
  <c r="CK17" i="2"/>
  <c r="CN17" i="2"/>
  <c r="CQ17" i="2"/>
  <c r="CS17" i="2"/>
  <c r="CO17" i="2"/>
  <c r="CT17" i="2"/>
  <c r="DB17" i="2" s="1"/>
  <c r="CM17" i="2"/>
  <c r="CP17" i="2"/>
  <c r="CL17" i="2"/>
  <c r="CJ17" i="2"/>
  <c r="CR17" i="2"/>
  <c r="CG43" i="2"/>
  <c r="CF43" i="2" s="1"/>
  <c r="CM43" i="2"/>
  <c r="CN43" i="2"/>
  <c r="CI43" i="2"/>
  <c r="CK43" i="2"/>
  <c r="CQ43" i="2"/>
  <c r="CT43" i="2"/>
  <c r="DB43" i="2" s="1"/>
  <c r="CO43" i="2"/>
  <c r="CJ43" i="2"/>
  <c r="CL43" i="2"/>
  <c r="CP43" i="2"/>
  <c r="CS43" i="2"/>
  <c r="CR43" i="2"/>
  <c r="CG98" i="2"/>
  <c r="CF98" i="2" s="1"/>
  <c r="CK98" i="2"/>
  <c r="CP98" i="2"/>
  <c r="CJ98" i="2"/>
  <c r="CN98" i="2"/>
  <c r="CM98" i="2"/>
  <c r="CQ98" i="2"/>
  <c r="CI98" i="2"/>
  <c r="CT98" i="2"/>
  <c r="DB98" i="2" s="1"/>
  <c r="CO98" i="2"/>
  <c r="CL98" i="2"/>
  <c r="CS98" i="2"/>
  <c r="CR98" i="2"/>
  <c r="CG75" i="2"/>
  <c r="CF75" i="2" s="1"/>
  <c r="CK75" i="2"/>
  <c r="CN75" i="2"/>
  <c r="CT75" i="2"/>
  <c r="DB75" i="2" s="1"/>
  <c r="CQ75" i="2"/>
  <c r="CO75" i="2"/>
  <c r="CL75" i="2"/>
  <c r="CS75" i="2"/>
  <c r="CP75" i="2"/>
  <c r="CI75" i="2"/>
  <c r="CM75" i="2"/>
  <c r="CJ75" i="2"/>
  <c r="CR75" i="2"/>
  <c r="CG34" i="2"/>
  <c r="CF34" i="2" s="1"/>
  <c r="CQ34" i="2"/>
  <c r="CN34" i="2"/>
  <c r="CI34" i="2"/>
  <c r="CO34" i="2"/>
  <c r="CM34" i="2"/>
  <c r="CK34" i="2"/>
  <c r="CS34" i="2"/>
  <c r="CT34" i="2"/>
  <c r="DB34" i="2" s="1"/>
  <c r="CP34" i="2"/>
  <c r="CJ34" i="2"/>
  <c r="CL34" i="2"/>
  <c r="CR34" i="2"/>
  <c r="CG66" i="2"/>
  <c r="CF66" i="2" s="1"/>
  <c r="CM66" i="2"/>
  <c r="CT66" i="2"/>
  <c r="DB66" i="2" s="1"/>
  <c r="CK66" i="2"/>
  <c r="CP66" i="2"/>
  <c r="CQ66" i="2"/>
  <c r="CL66" i="2"/>
  <c r="CJ66" i="2"/>
  <c r="CO66" i="2"/>
  <c r="CI66" i="2"/>
  <c r="CS66" i="2"/>
  <c r="CN66" i="2"/>
  <c r="CR66" i="2"/>
  <c r="CG28" i="2"/>
  <c r="CF28" i="2" s="1"/>
  <c r="CK28" i="2"/>
  <c r="CN28" i="2"/>
  <c r="CT28" i="2"/>
  <c r="DB28" i="2" s="1"/>
  <c r="CI28" i="2"/>
  <c r="CQ28" i="2"/>
  <c r="CJ28" i="2"/>
  <c r="CP28" i="2"/>
  <c r="CM28" i="2"/>
  <c r="CS28" i="2"/>
  <c r="CO28" i="2"/>
  <c r="CL28" i="2"/>
  <c r="CR28" i="2"/>
  <c r="CG10" i="2"/>
  <c r="CF10" i="2" s="1"/>
  <c r="CN10" i="2"/>
  <c r="CT10" i="2"/>
  <c r="DB10" i="2" s="1"/>
  <c r="CM10" i="2"/>
  <c r="CS10" i="2"/>
  <c r="CO10" i="2"/>
  <c r="CI10" i="2"/>
  <c r="CQ10" i="2"/>
  <c r="CK10" i="2"/>
  <c r="CL10" i="2"/>
  <c r="CJ10" i="2"/>
  <c r="CP10" i="2"/>
  <c r="CR10" i="2"/>
  <c r="CG15" i="2"/>
  <c r="CF15" i="2" s="1"/>
  <c r="CQ15" i="2"/>
  <c r="CI15" i="2"/>
  <c r="CK15" i="2"/>
  <c r="CN15" i="2"/>
  <c r="CT15" i="2"/>
  <c r="DB15" i="2" s="1"/>
  <c r="CS15" i="2"/>
  <c r="CM15" i="2"/>
  <c r="CJ15" i="2"/>
  <c r="CL15" i="2"/>
  <c r="CP15" i="2"/>
  <c r="CO15" i="2"/>
  <c r="CR15" i="2"/>
  <c r="GN16" i="2"/>
  <c r="FF135" i="2"/>
  <c r="FF301" i="2"/>
  <c r="BE15" i="2"/>
  <c r="AE14" i="2"/>
  <c r="AA14" i="2"/>
  <c r="AB15" i="2"/>
  <c r="AC14" i="2"/>
  <c r="CG61" i="2"/>
  <c r="CF61" i="2" s="1"/>
  <c r="CM61" i="2"/>
  <c r="CK61" i="2"/>
  <c r="CT61" i="2"/>
  <c r="DB61" i="2" s="1"/>
  <c r="CP61" i="2"/>
  <c r="CJ61" i="2"/>
  <c r="CN61" i="2"/>
  <c r="CQ61" i="2"/>
  <c r="CO61" i="2"/>
  <c r="CL61" i="2"/>
  <c r="CI61" i="2"/>
  <c r="CS61" i="2"/>
  <c r="CR61" i="2"/>
  <c r="CG88" i="2"/>
  <c r="CF88" i="2" s="1"/>
  <c r="CN88" i="2"/>
  <c r="CM88" i="2"/>
  <c r="CQ88" i="2"/>
  <c r="CL88" i="2"/>
  <c r="CJ88" i="2"/>
  <c r="CK88" i="2"/>
  <c r="CP88" i="2"/>
  <c r="CO88" i="2"/>
  <c r="CS88" i="2"/>
  <c r="CT88" i="2"/>
  <c r="DB88" i="2" s="1"/>
  <c r="CI88" i="2"/>
  <c r="CR88" i="2"/>
  <c r="CG50" i="2"/>
  <c r="CF50" i="2" s="1"/>
  <c r="CQ50" i="2"/>
  <c r="CM50" i="2"/>
  <c r="CN50" i="2"/>
  <c r="CI50" i="2"/>
  <c r="CS50" i="2"/>
  <c r="CK50" i="2"/>
  <c r="CT50" i="2"/>
  <c r="DB50" i="2" s="1"/>
  <c r="CO50" i="2"/>
  <c r="CJ50" i="2"/>
  <c r="CP50" i="2"/>
  <c r="CL50" i="2"/>
  <c r="CR50" i="2"/>
  <c r="CG83" i="2"/>
  <c r="CF83" i="2" s="1"/>
  <c r="CP83" i="2"/>
  <c r="CK83" i="2"/>
  <c r="CQ83" i="2"/>
  <c r="CT83" i="2"/>
  <c r="DB83" i="2" s="1"/>
  <c r="CJ83" i="2"/>
  <c r="CO83" i="2"/>
  <c r="CN83" i="2"/>
  <c r="CL83" i="2"/>
  <c r="CS83" i="2"/>
  <c r="CM83" i="2"/>
  <c r="CI83" i="2"/>
  <c r="CR83" i="2"/>
  <c r="CG44" i="2"/>
  <c r="CF44" i="2" s="1"/>
  <c r="CM44" i="2"/>
  <c r="CN44" i="2"/>
  <c r="CI44" i="2"/>
  <c r="CT44" i="2"/>
  <c r="DB44" i="2" s="1"/>
  <c r="CO44" i="2"/>
  <c r="CQ44" i="2"/>
  <c r="CK44" i="2"/>
  <c r="CS44" i="2"/>
  <c r="CP44" i="2"/>
  <c r="CL44" i="2"/>
  <c r="CJ44" i="2"/>
  <c r="CR44" i="2"/>
  <c r="CG68" i="2"/>
  <c r="CF68" i="2" s="1"/>
  <c r="CT68" i="2"/>
  <c r="DB68" i="2" s="1"/>
  <c r="CO68" i="2"/>
  <c r="CL68" i="2"/>
  <c r="CK68" i="2"/>
  <c r="CM68" i="2"/>
  <c r="CP68" i="2"/>
  <c r="CJ68" i="2"/>
  <c r="CQ68" i="2"/>
  <c r="CN68" i="2"/>
  <c r="CS68" i="2"/>
  <c r="CI68" i="2"/>
  <c r="CR68" i="2"/>
  <c r="CG37" i="2"/>
  <c r="CF37" i="2" s="1"/>
  <c r="CT37" i="2"/>
  <c r="DB37" i="2" s="1"/>
  <c r="CQ37" i="2"/>
  <c r="CM37" i="2"/>
  <c r="CN37" i="2"/>
  <c r="CI37" i="2"/>
  <c r="CO37" i="2"/>
  <c r="CP37" i="2"/>
  <c r="CL37" i="2"/>
  <c r="CS37" i="2"/>
  <c r="CJ37" i="2"/>
  <c r="CK37" i="2"/>
  <c r="CR37" i="2"/>
  <c r="CG19" i="2"/>
  <c r="CF19" i="2" s="1"/>
  <c r="CQ19" i="2"/>
  <c r="CN19" i="2"/>
  <c r="CI19" i="2"/>
  <c r="CO19" i="2"/>
  <c r="CK19" i="2"/>
  <c r="CT19" i="2"/>
  <c r="DB19" i="2" s="1"/>
  <c r="CL19" i="2"/>
  <c r="CP19" i="2"/>
  <c r="CJ19" i="2"/>
  <c r="CS19" i="2"/>
  <c r="CM19" i="2"/>
  <c r="CR19" i="2"/>
  <c r="CG71" i="2"/>
  <c r="CF71" i="2" s="1"/>
  <c r="CK71" i="2"/>
  <c r="CN71" i="2"/>
  <c r="CL71" i="2"/>
  <c r="CT71" i="2"/>
  <c r="DB71" i="2" s="1"/>
  <c r="CJ71" i="2"/>
  <c r="CQ71" i="2"/>
  <c r="CO71" i="2"/>
  <c r="CM71" i="2"/>
  <c r="CP71" i="2"/>
  <c r="CI71" i="2"/>
  <c r="CS71" i="2"/>
  <c r="CR71" i="2"/>
  <c r="CG23" i="2"/>
  <c r="CF23" i="2" s="1"/>
  <c r="CQ23" i="2"/>
  <c r="CI23" i="2"/>
  <c r="CN23" i="2"/>
  <c r="CO23" i="2"/>
  <c r="CK23" i="2"/>
  <c r="CT23" i="2"/>
  <c r="DB23" i="2" s="1"/>
  <c r="CS23" i="2"/>
  <c r="CJ23" i="2"/>
  <c r="CL23" i="2"/>
  <c r="CP23" i="2"/>
  <c r="CM23" i="2"/>
  <c r="CR23" i="2"/>
  <c r="CG81" i="2"/>
  <c r="CF81" i="2" s="1"/>
  <c r="CN81" i="2"/>
  <c r="CT81" i="2"/>
  <c r="DB81" i="2" s="1"/>
  <c r="CO81" i="2"/>
  <c r="CK81" i="2"/>
  <c r="CM81" i="2"/>
  <c r="CL81" i="2"/>
  <c r="CQ81" i="2"/>
  <c r="CP81" i="2"/>
  <c r="CJ81" i="2"/>
  <c r="CI81" i="2"/>
  <c r="CS81" i="2"/>
  <c r="CR81" i="2"/>
  <c r="CG39" i="2"/>
  <c r="CF39" i="2" s="1"/>
  <c r="CQ39" i="2"/>
  <c r="CK39" i="2"/>
  <c r="CI39" i="2"/>
  <c r="CT39" i="2"/>
  <c r="DB39" i="2" s="1"/>
  <c r="CO39" i="2"/>
  <c r="CS39" i="2"/>
  <c r="CJ39" i="2"/>
  <c r="CL39" i="2"/>
  <c r="CP39" i="2"/>
  <c r="CM39" i="2"/>
  <c r="CN39" i="2"/>
  <c r="CR39" i="2"/>
  <c r="CG20" i="2"/>
  <c r="CF20" i="2" s="1"/>
  <c r="CI20" i="2"/>
  <c r="CQ20" i="2"/>
  <c r="CS20" i="2"/>
  <c r="CO20" i="2"/>
  <c r="CM20" i="2"/>
  <c r="CT20" i="2"/>
  <c r="DB20" i="2" s="1"/>
  <c r="CN20" i="2"/>
  <c r="CL20" i="2"/>
  <c r="CJ20" i="2"/>
  <c r="CP20" i="2"/>
  <c r="CK20" i="2"/>
  <c r="CR20" i="2"/>
  <c r="CG26" i="2"/>
  <c r="CF26" i="2" s="1"/>
  <c r="CQ26" i="2"/>
  <c r="CN26" i="2"/>
  <c r="CI26" i="2"/>
  <c r="CM26" i="2"/>
  <c r="CS26" i="2"/>
  <c r="CO26" i="2"/>
  <c r="CL26" i="2"/>
  <c r="CP26" i="2"/>
  <c r="CK26" i="2"/>
  <c r="CT26" i="2"/>
  <c r="DB26" i="2" s="1"/>
  <c r="CJ26" i="2"/>
  <c r="CR26" i="2"/>
  <c r="CG49" i="2"/>
  <c r="CF49" i="2" s="1"/>
  <c r="CI49" i="2"/>
  <c r="CQ49" i="2"/>
  <c r="CK49" i="2"/>
  <c r="CS49" i="2"/>
  <c r="CM49" i="2"/>
  <c r="CN49" i="2"/>
  <c r="CT49" i="2"/>
  <c r="DB49" i="2" s="1"/>
  <c r="CP49" i="2"/>
  <c r="CO49" i="2"/>
  <c r="CJ49" i="2"/>
  <c r="CL49" i="2"/>
  <c r="CR49" i="2"/>
  <c r="CG84" i="2"/>
  <c r="CF84" i="2" s="1"/>
  <c r="CJ84" i="2"/>
  <c r="CK84" i="2"/>
  <c r="CN84" i="2"/>
  <c r="CM84" i="2"/>
  <c r="CL84" i="2"/>
  <c r="CT84" i="2"/>
  <c r="DB84" i="2" s="1"/>
  <c r="CQ84" i="2"/>
  <c r="CI84" i="2"/>
  <c r="CS84" i="2"/>
  <c r="CP84" i="2"/>
  <c r="CO84" i="2"/>
  <c r="CR84" i="2"/>
  <c r="CG38" i="2"/>
  <c r="CF38" i="2" s="1"/>
  <c r="CQ38" i="2"/>
  <c r="CT38" i="2"/>
  <c r="DB38" i="2" s="1"/>
  <c r="CI38" i="2"/>
  <c r="CS38" i="2"/>
  <c r="CK38" i="2"/>
  <c r="CJ38" i="2"/>
  <c r="CP38" i="2"/>
  <c r="CL38" i="2"/>
  <c r="CM38" i="2"/>
  <c r="CN38" i="2"/>
  <c r="CO38" i="2"/>
  <c r="CR38" i="2"/>
  <c r="CG67" i="2"/>
  <c r="CF67" i="2" s="1"/>
  <c r="CJ67" i="2"/>
  <c r="CK67" i="2"/>
  <c r="CT67" i="2"/>
  <c r="DB67" i="2" s="1"/>
  <c r="CM67" i="2"/>
  <c r="CP67" i="2"/>
  <c r="CN67" i="2"/>
  <c r="CL67" i="2"/>
  <c r="CQ67" i="2"/>
  <c r="CI67" i="2"/>
  <c r="CO67" i="2"/>
  <c r="CS67" i="2"/>
  <c r="CR67" i="2"/>
  <c r="CG25" i="2"/>
  <c r="CF25" i="2" s="1"/>
  <c r="CM25" i="2"/>
  <c r="CN25" i="2"/>
  <c r="CI25" i="2"/>
  <c r="CQ25" i="2"/>
  <c r="CK25" i="2"/>
  <c r="CT25" i="2"/>
  <c r="DB25" i="2" s="1"/>
  <c r="CS25" i="2"/>
  <c r="CO25" i="2"/>
  <c r="CL25" i="2"/>
  <c r="CJ25" i="2"/>
  <c r="CP25" i="2"/>
  <c r="CR25" i="2"/>
  <c r="CG72" i="2"/>
  <c r="CF72" i="2" s="1"/>
  <c r="CN72" i="2"/>
  <c r="CQ72" i="2"/>
  <c r="CK72" i="2"/>
  <c r="CM72" i="2"/>
  <c r="CJ72" i="2"/>
  <c r="CO72" i="2"/>
  <c r="CT72" i="2"/>
  <c r="DB72" i="2" s="1"/>
  <c r="CP72" i="2"/>
  <c r="CL72" i="2"/>
  <c r="CS72" i="2"/>
  <c r="CI72" i="2"/>
  <c r="CR72" i="2"/>
  <c r="CG22" i="2"/>
  <c r="CF22" i="2" s="1"/>
  <c r="CI22" i="2"/>
  <c r="CN22" i="2"/>
  <c r="CM22" i="2"/>
  <c r="CQ22" i="2"/>
  <c r="CS22" i="2"/>
  <c r="CL22" i="2"/>
  <c r="CO22" i="2"/>
  <c r="CJ22" i="2"/>
  <c r="CK22" i="2"/>
  <c r="CT22" i="2"/>
  <c r="DB22" i="2" s="1"/>
  <c r="CP22" i="2"/>
  <c r="CR22" i="2"/>
  <c r="FH188" i="2"/>
  <c r="FJ199" i="2"/>
  <c r="FJ183" i="2"/>
  <c r="FJ7" i="2"/>
  <c r="FJ8" i="2" s="1"/>
  <c r="GR7" i="2"/>
  <c r="FJ9" i="2"/>
  <c r="GR11" i="2" s="1"/>
  <c r="Z15" i="2"/>
  <c r="AK14" i="2"/>
  <c r="AJ14" i="2" s="1"/>
  <c r="BY102" i="2"/>
  <c r="AZ32" i="2" s="1"/>
  <c r="FF158" i="2"/>
  <c r="GG7" i="2" l="1"/>
  <c r="GG8" i="2" s="1"/>
  <c r="GG9" i="2"/>
  <c r="FJ127" i="2"/>
  <c r="FJ124" i="2"/>
  <c r="FJ121" i="2"/>
  <c r="FJ119" i="2"/>
  <c r="FJ117" i="2"/>
  <c r="FJ115" i="2"/>
  <c r="FJ123" i="2"/>
  <c r="FJ112" i="2"/>
  <c r="FJ122" i="2"/>
  <c r="FJ125" i="2"/>
  <c r="FJ120" i="2"/>
  <c r="FJ118" i="2"/>
  <c r="FJ116" i="2"/>
  <c r="FJ113" i="2"/>
  <c r="FJ114" i="2"/>
  <c r="FJ10" i="2"/>
  <c r="FJ15" i="2"/>
  <c r="DA39" i="2"/>
  <c r="CZ39" i="2" s="1"/>
  <c r="DM39" i="2"/>
  <c r="DC39" i="2"/>
  <c r="DN39" i="2"/>
  <c r="DV39" i="2" s="1"/>
  <c r="DE39" i="2"/>
  <c r="DG39" i="2"/>
  <c r="DF39" i="2"/>
  <c r="DI39" i="2"/>
  <c r="DK39" i="2"/>
  <c r="DH39" i="2"/>
  <c r="DJ39" i="2"/>
  <c r="DD39" i="2"/>
  <c r="DL39" i="2"/>
  <c r="DA88" i="2"/>
  <c r="CZ88" i="2" s="1"/>
  <c r="DD88" i="2"/>
  <c r="DE88" i="2"/>
  <c r="DM88" i="2"/>
  <c r="DC88" i="2"/>
  <c r="DH88" i="2"/>
  <c r="DJ88" i="2"/>
  <c r="DK88" i="2"/>
  <c r="DF88" i="2"/>
  <c r="DI88" i="2"/>
  <c r="DG88" i="2"/>
  <c r="DN88" i="2"/>
  <c r="DV88" i="2" s="1"/>
  <c r="DL88" i="2"/>
  <c r="GN34" i="2"/>
  <c r="FF126" i="2"/>
  <c r="GB6" i="2"/>
  <c r="BE27" i="2"/>
  <c r="DA38" i="2"/>
  <c r="CZ38" i="2" s="1"/>
  <c r="DE38" i="2"/>
  <c r="DM38" i="2"/>
  <c r="DK38" i="2"/>
  <c r="DC38" i="2"/>
  <c r="DI38" i="2"/>
  <c r="DH38" i="2"/>
  <c r="DG38" i="2"/>
  <c r="DF38" i="2"/>
  <c r="DJ38" i="2"/>
  <c r="DN38" i="2"/>
  <c r="DV38" i="2" s="1"/>
  <c r="DD38" i="2"/>
  <c r="DL38" i="2"/>
  <c r="DA20" i="2"/>
  <c r="CZ20" i="2" s="1"/>
  <c r="DE20" i="2"/>
  <c r="DI20" i="2"/>
  <c r="DC20" i="2"/>
  <c r="DK20" i="2"/>
  <c r="DM20" i="2"/>
  <c r="DN20" i="2"/>
  <c r="DV20" i="2" s="1"/>
  <c r="DF20" i="2"/>
  <c r="DG20" i="2"/>
  <c r="DH20" i="2"/>
  <c r="DJ20" i="2"/>
  <c r="DD20" i="2"/>
  <c r="DL20" i="2"/>
  <c r="GN15" i="2"/>
  <c r="GF9" i="2"/>
  <c r="GF7" i="2"/>
  <c r="GF8" i="2"/>
  <c r="DA69" i="2"/>
  <c r="CZ69" i="2" s="1"/>
  <c r="DD69" i="2"/>
  <c r="DE69" i="2"/>
  <c r="DJ69" i="2"/>
  <c r="DH69" i="2"/>
  <c r="DF69" i="2"/>
  <c r="DC69" i="2"/>
  <c r="DM69" i="2"/>
  <c r="DI69" i="2"/>
  <c r="DN69" i="2"/>
  <c r="DV69" i="2" s="1"/>
  <c r="DK69" i="2"/>
  <c r="DG69" i="2"/>
  <c r="DL69" i="2"/>
  <c r="BZ51" i="2"/>
  <c r="AZ17" i="2" s="1"/>
  <c r="GY4" i="2"/>
  <c r="GG50" i="2"/>
  <c r="GG81" i="2" s="1"/>
  <c r="GG112" i="2" s="1"/>
  <c r="GH19" i="2"/>
  <c r="DA63" i="2"/>
  <c r="CZ63" i="2" s="1"/>
  <c r="DD63" i="2"/>
  <c r="DE63" i="2"/>
  <c r="DC63" i="2"/>
  <c r="DJ63" i="2"/>
  <c r="DM63" i="2"/>
  <c r="DH63" i="2"/>
  <c r="DK63" i="2"/>
  <c r="DG63" i="2"/>
  <c r="DN63" i="2"/>
  <c r="DV63" i="2" s="1"/>
  <c r="DF63" i="2"/>
  <c r="DI63" i="2"/>
  <c r="DL63" i="2"/>
  <c r="DA99" i="2"/>
  <c r="CZ99" i="2" s="1"/>
  <c r="DD99" i="2"/>
  <c r="DE99" i="2"/>
  <c r="DH99" i="2"/>
  <c r="DM99" i="2"/>
  <c r="DC99" i="2"/>
  <c r="DG99" i="2"/>
  <c r="DJ99" i="2"/>
  <c r="DK99" i="2"/>
  <c r="DI99" i="2"/>
  <c r="DN99" i="2"/>
  <c r="DV99" i="2" s="1"/>
  <c r="DF99" i="2"/>
  <c r="DL99" i="2"/>
  <c r="DA77" i="2"/>
  <c r="CZ77" i="2" s="1"/>
  <c r="DC77" i="2"/>
  <c r="DE77" i="2"/>
  <c r="DH77" i="2"/>
  <c r="DJ77" i="2"/>
  <c r="DD77" i="2"/>
  <c r="DM77" i="2"/>
  <c r="DF77" i="2"/>
  <c r="DG77" i="2"/>
  <c r="DN77" i="2"/>
  <c r="DV77" i="2" s="1"/>
  <c r="DI77" i="2"/>
  <c r="DK77" i="2"/>
  <c r="DL77" i="2"/>
  <c r="DA94" i="2"/>
  <c r="CZ94" i="2" s="1"/>
  <c r="DE94" i="2"/>
  <c r="DH94" i="2"/>
  <c r="DD94" i="2"/>
  <c r="DC94" i="2"/>
  <c r="DM94" i="2"/>
  <c r="DF94" i="2"/>
  <c r="DN94" i="2"/>
  <c r="DV94" i="2" s="1"/>
  <c r="DI94" i="2"/>
  <c r="DJ94" i="2"/>
  <c r="DK94" i="2"/>
  <c r="DG94" i="2"/>
  <c r="DL94" i="2"/>
  <c r="DA92" i="2"/>
  <c r="CZ92" i="2" s="1"/>
  <c r="DE92" i="2"/>
  <c r="DH92" i="2"/>
  <c r="DD92" i="2"/>
  <c r="DJ92" i="2"/>
  <c r="DC92" i="2"/>
  <c r="DM92" i="2"/>
  <c r="DG92" i="2"/>
  <c r="DK92" i="2"/>
  <c r="DI92" i="2"/>
  <c r="DF92" i="2"/>
  <c r="DN92" i="2"/>
  <c r="DV92" i="2" s="1"/>
  <c r="DL92" i="2"/>
  <c r="DA12" i="2"/>
  <c r="CZ12" i="2" s="1"/>
  <c r="DE12" i="2"/>
  <c r="DM12" i="2"/>
  <c r="DK12" i="2"/>
  <c r="DG12" i="2"/>
  <c r="DC12" i="2"/>
  <c r="DN12" i="2"/>
  <c r="DV12" i="2" s="1"/>
  <c r="DJ12" i="2"/>
  <c r="DH12" i="2"/>
  <c r="DF12" i="2"/>
  <c r="DD12" i="2"/>
  <c r="DI12" i="2"/>
  <c r="DL12" i="2"/>
  <c r="HP19" i="2"/>
  <c r="HQ20" i="2"/>
  <c r="DA31" i="2"/>
  <c r="CZ31" i="2" s="1"/>
  <c r="DM31" i="2"/>
  <c r="DG31" i="2"/>
  <c r="DN31" i="2"/>
  <c r="DV31" i="2" s="1"/>
  <c r="DE31" i="2"/>
  <c r="DC31" i="2"/>
  <c r="DH31" i="2"/>
  <c r="DJ31" i="2"/>
  <c r="DI31" i="2"/>
  <c r="DK31" i="2"/>
  <c r="DF31" i="2"/>
  <c r="DD31" i="2"/>
  <c r="DL31" i="2"/>
  <c r="DA32" i="2"/>
  <c r="CZ32" i="2" s="1"/>
  <c r="DE32" i="2"/>
  <c r="DI32" i="2"/>
  <c r="DK32" i="2"/>
  <c r="DC32" i="2"/>
  <c r="DM32" i="2"/>
  <c r="DG32" i="2"/>
  <c r="DN32" i="2"/>
  <c r="DV32" i="2" s="1"/>
  <c r="DH32" i="2"/>
  <c r="DD32" i="2"/>
  <c r="DF32" i="2"/>
  <c r="DJ32" i="2"/>
  <c r="DL32" i="2"/>
  <c r="DA93" i="2"/>
  <c r="CZ93" i="2" s="1"/>
  <c r="DD93" i="2"/>
  <c r="DE93" i="2"/>
  <c r="DH93" i="2"/>
  <c r="DJ93" i="2"/>
  <c r="DM93" i="2"/>
  <c r="DC93" i="2"/>
  <c r="DI93" i="2"/>
  <c r="DG93" i="2"/>
  <c r="DF93" i="2"/>
  <c r="DK93" i="2"/>
  <c r="DN93" i="2"/>
  <c r="DV93" i="2" s="1"/>
  <c r="DL93" i="2"/>
  <c r="DA79" i="2"/>
  <c r="CZ79" i="2" s="1"/>
  <c r="DE79" i="2"/>
  <c r="DD79" i="2"/>
  <c r="DJ79" i="2"/>
  <c r="DC79" i="2"/>
  <c r="DH79" i="2"/>
  <c r="DG79" i="2"/>
  <c r="DF79" i="2"/>
  <c r="DM79" i="2"/>
  <c r="DK79" i="2"/>
  <c r="DI79" i="2"/>
  <c r="DN79" i="2"/>
  <c r="DV79" i="2" s="1"/>
  <c r="DL79" i="2"/>
  <c r="DA85" i="2"/>
  <c r="CZ85" i="2" s="1"/>
  <c r="DD85" i="2"/>
  <c r="DE85" i="2"/>
  <c r="DC85" i="2"/>
  <c r="DM85" i="2"/>
  <c r="DH85" i="2"/>
  <c r="DJ85" i="2"/>
  <c r="DN85" i="2"/>
  <c r="DV85" i="2" s="1"/>
  <c r="DG85" i="2"/>
  <c r="DI85" i="2"/>
  <c r="DK85" i="2"/>
  <c r="DF85" i="2"/>
  <c r="DL85" i="2"/>
  <c r="FI111" i="2"/>
  <c r="GQ16" i="2" s="1"/>
  <c r="GQ15" i="2" s="1"/>
  <c r="DA26" i="2"/>
  <c r="CZ26" i="2" s="1"/>
  <c r="DE26" i="2"/>
  <c r="DG26" i="2"/>
  <c r="DF26" i="2"/>
  <c r="DJ26" i="2"/>
  <c r="DC26" i="2"/>
  <c r="DK26" i="2"/>
  <c r="DH26" i="2"/>
  <c r="DN26" i="2"/>
  <c r="DV26" i="2" s="1"/>
  <c r="DM26" i="2"/>
  <c r="DI26" i="2"/>
  <c r="DD26" i="2"/>
  <c r="DL26" i="2"/>
  <c r="DA37" i="2"/>
  <c r="CZ37" i="2" s="1"/>
  <c r="DG37" i="2"/>
  <c r="DI37" i="2"/>
  <c r="DK37" i="2"/>
  <c r="DH37" i="2"/>
  <c r="DE37" i="2"/>
  <c r="DC37" i="2"/>
  <c r="DM37" i="2"/>
  <c r="DN37" i="2"/>
  <c r="DV37" i="2" s="1"/>
  <c r="DF37" i="2"/>
  <c r="DJ37" i="2"/>
  <c r="DD37" i="2"/>
  <c r="DL37" i="2"/>
  <c r="DA61" i="2"/>
  <c r="CZ61" i="2" s="1"/>
  <c r="DE61" i="2"/>
  <c r="DC61" i="2"/>
  <c r="DD61" i="2"/>
  <c r="DJ61" i="2"/>
  <c r="DM61" i="2"/>
  <c r="DK61" i="2"/>
  <c r="DG61" i="2"/>
  <c r="DI61" i="2"/>
  <c r="DH61" i="2"/>
  <c r="DN61" i="2"/>
  <c r="DV61" i="2" s="1"/>
  <c r="DF61" i="2"/>
  <c r="DL61" i="2"/>
  <c r="DA101" i="2"/>
  <c r="CZ101" i="2" s="1"/>
  <c r="DE101" i="2"/>
  <c r="DD101" i="2"/>
  <c r="DH101" i="2"/>
  <c r="DC101" i="2"/>
  <c r="DJ101" i="2"/>
  <c r="DF101" i="2"/>
  <c r="DN101" i="2"/>
  <c r="DV101" i="2" s="1"/>
  <c r="DM101" i="2"/>
  <c r="DG101" i="2"/>
  <c r="DK101" i="2"/>
  <c r="DI101" i="2"/>
  <c r="DL101" i="2"/>
  <c r="DA45" i="2"/>
  <c r="CZ45" i="2" s="1"/>
  <c r="DI45" i="2"/>
  <c r="DH45" i="2"/>
  <c r="DG45" i="2"/>
  <c r="DE45" i="2"/>
  <c r="DM45" i="2"/>
  <c r="DK45" i="2"/>
  <c r="DC45" i="2"/>
  <c r="DN45" i="2"/>
  <c r="DV45" i="2" s="1"/>
  <c r="DF45" i="2"/>
  <c r="DJ45" i="2"/>
  <c r="DD45" i="2"/>
  <c r="DL45" i="2"/>
  <c r="GE6" i="2"/>
  <c r="BE30" i="2"/>
  <c r="FG275" i="2"/>
  <c r="FG106" i="2"/>
  <c r="FG100" i="2" s="1"/>
  <c r="DA27" i="2"/>
  <c r="CZ27" i="2" s="1"/>
  <c r="DC27" i="2"/>
  <c r="DI27" i="2"/>
  <c r="DG27" i="2"/>
  <c r="DE27" i="2"/>
  <c r="DH27" i="2"/>
  <c r="DF27" i="2"/>
  <c r="DJ27" i="2"/>
  <c r="DK27" i="2"/>
  <c r="DM27" i="2"/>
  <c r="DN27" i="2"/>
  <c r="DV27" i="2" s="1"/>
  <c r="DD27" i="2"/>
  <c r="DL27" i="2"/>
  <c r="DA72" i="2"/>
  <c r="CZ72" i="2" s="1"/>
  <c r="DD72" i="2"/>
  <c r="DE72" i="2"/>
  <c r="DC72" i="2"/>
  <c r="DM72" i="2"/>
  <c r="DH72" i="2"/>
  <c r="DJ72" i="2"/>
  <c r="DN72" i="2"/>
  <c r="DV72" i="2" s="1"/>
  <c r="DK72" i="2"/>
  <c r="DF72" i="2"/>
  <c r="DG72" i="2"/>
  <c r="DI72" i="2"/>
  <c r="DL72" i="2"/>
  <c r="DA43" i="2"/>
  <c r="CZ43" i="2" s="1"/>
  <c r="DC43" i="2"/>
  <c r="DN43" i="2"/>
  <c r="DV43" i="2" s="1"/>
  <c r="DJ43" i="2"/>
  <c r="DE43" i="2"/>
  <c r="DM43" i="2"/>
  <c r="DK43" i="2"/>
  <c r="DF43" i="2"/>
  <c r="DG43" i="2"/>
  <c r="DD43" i="2"/>
  <c r="DI43" i="2"/>
  <c r="DH43" i="2"/>
  <c r="DL43" i="2"/>
  <c r="DA17" i="2"/>
  <c r="CZ17" i="2" s="1"/>
  <c r="DE17" i="2"/>
  <c r="DN17" i="2"/>
  <c r="DV17" i="2" s="1"/>
  <c r="DC17" i="2"/>
  <c r="DI17" i="2"/>
  <c r="DH17" i="2"/>
  <c r="DG17" i="2"/>
  <c r="DJ17" i="2"/>
  <c r="DK17" i="2"/>
  <c r="DD17" i="2"/>
  <c r="DM17" i="2"/>
  <c r="DF17" i="2"/>
  <c r="DL17" i="2"/>
  <c r="DA91" i="2"/>
  <c r="CZ91" i="2" s="1"/>
  <c r="DC91" i="2"/>
  <c r="DE91" i="2"/>
  <c r="DD91" i="2"/>
  <c r="DM91" i="2"/>
  <c r="DJ91" i="2"/>
  <c r="DK91" i="2"/>
  <c r="DG91" i="2"/>
  <c r="DF91" i="2"/>
  <c r="DN91" i="2"/>
  <c r="DV91" i="2" s="1"/>
  <c r="DH91" i="2"/>
  <c r="DI91" i="2"/>
  <c r="DL91" i="2"/>
  <c r="DA70" i="2"/>
  <c r="CZ70" i="2" s="1"/>
  <c r="DD70" i="2"/>
  <c r="DE70" i="2"/>
  <c r="DH70" i="2"/>
  <c r="DC70" i="2"/>
  <c r="DM70" i="2"/>
  <c r="DI70" i="2"/>
  <c r="DN70" i="2"/>
  <c r="DV70" i="2" s="1"/>
  <c r="DK70" i="2"/>
  <c r="DG70" i="2"/>
  <c r="DJ70" i="2"/>
  <c r="DF70" i="2"/>
  <c r="DL70" i="2"/>
  <c r="GA6" i="2"/>
  <c r="BE26" i="2"/>
  <c r="DA16" i="2"/>
  <c r="CZ16" i="2" s="1"/>
  <c r="DC16" i="2"/>
  <c r="DI16" i="2"/>
  <c r="DN16" i="2"/>
  <c r="DV16" i="2" s="1"/>
  <c r="DE16" i="2"/>
  <c r="DM16" i="2"/>
  <c r="DK16" i="2"/>
  <c r="DG16" i="2"/>
  <c r="DH16" i="2"/>
  <c r="DF16" i="2"/>
  <c r="DJ16" i="2"/>
  <c r="DD16" i="2"/>
  <c r="DL16" i="2"/>
  <c r="FF207" i="2"/>
  <c r="BE32" i="2"/>
  <c r="DA84" i="2"/>
  <c r="CZ84" i="2" s="1"/>
  <c r="DD84" i="2"/>
  <c r="DE84" i="2"/>
  <c r="DH84" i="2"/>
  <c r="DC84" i="2"/>
  <c r="DF84" i="2"/>
  <c r="DJ84" i="2"/>
  <c r="DM84" i="2"/>
  <c r="DI84" i="2"/>
  <c r="DG84" i="2"/>
  <c r="DN84" i="2"/>
  <c r="DV84" i="2" s="1"/>
  <c r="DK84" i="2"/>
  <c r="DL84" i="2"/>
  <c r="DA49" i="2"/>
  <c r="CZ49" i="2" s="1"/>
  <c r="DG49" i="2"/>
  <c r="DE49" i="2"/>
  <c r="DM49" i="2"/>
  <c r="DK49" i="2"/>
  <c r="DH49" i="2"/>
  <c r="DC49" i="2"/>
  <c r="DN49" i="2"/>
  <c r="DV49" i="2" s="1"/>
  <c r="DI49" i="2"/>
  <c r="DF49" i="2"/>
  <c r="DD49" i="2"/>
  <c r="DJ49" i="2"/>
  <c r="DL49" i="2"/>
  <c r="DA19" i="2"/>
  <c r="CZ19" i="2" s="1"/>
  <c r="DC19" i="2"/>
  <c r="DG19" i="2"/>
  <c r="DE19" i="2"/>
  <c r="DK19" i="2"/>
  <c r="DJ19" i="2"/>
  <c r="DI19" i="2"/>
  <c r="DH19" i="2"/>
  <c r="DN19" i="2"/>
  <c r="DV19" i="2" s="1"/>
  <c r="DD19" i="2"/>
  <c r="DM19" i="2"/>
  <c r="DF19" i="2"/>
  <c r="DL19" i="2"/>
  <c r="DA50" i="2"/>
  <c r="CZ50" i="2" s="1"/>
  <c r="DE50" i="2"/>
  <c r="DC50" i="2"/>
  <c r="DN50" i="2"/>
  <c r="DV50" i="2" s="1"/>
  <c r="DI50" i="2"/>
  <c r="DG50" i="2"/>
  <c r="DF50" i="2"/>
  <c r="DM50" i="2"/>
  <c r="DK50" i="2"/>
  <c r="DH50" i="2"/>
  <c r="DJ50" i="2"/>
  <c r="DD50" i="2"/>
  <c r="DL50" i="2"/>
  <c r="DA75" i="2"/>
  <c r="CZ75" i="2" s="1"/>
  <c r="DE75" i="2"/>
  <c r="DD75" i="2"/>
  <c r="DJ75" i="2"/>
  <c r="DH75" i="2"/>
  <c r="DM75" i="2"/>
  <c r="DK75" i="2"/>
  <c r="DI75" i="2"/>
  <c r="DF75" i="2"/>
  <c r="DC75" i="2"/>
  <c r="DG75" i="2"/>
  <c r="DN75" i="2"/>
  <c r="DV75" i="2" s="1"/>
  <c r="DL75" i="2"/>
  <c r="DA98" i="2"/>
  <c r="CZ98" i="2" s="1"/>
  <c r="DD98" i="2"/>
  <c r="DE98" i="2"/>
  <c r="DC98" i="2"/>
  <c r="DH98" i="2"/>
  <c r="DK98" i="2"/>
  <c r="DG98" i="2"/>
  <c r="DF98" i="2"/>
  <c r="DN98" i="2"/>
  <c r="DV98" i="2" s="1"/>
  <c r="DM98" i="2"/>
  <c r="DJ98" i="2"/>
  <c r="DI98" i="2"/>
  <c r="DL98" i="2"/>
  <c r="DA95" i="2"/>
  <c r="CZ95" i="2" s="1"/>
  <c r="DD95" i="2"/>
  <c r="DC95" i="2"/>
  <c r="DE95" i="2"/>
  <c r="DJ95" i="2"/>
  <c r="DM95" i="2"/>
  <c r="DK95" i="2"/>
  <c r="DI95" i="2"/>
  <c r="DF95" i="2"/>
  <c r="DN95" i="2"/>
  <c r="DV95" i="2" s="1"/>
  <c r="DH95" i="2"/>
  <c r="DG95" i="2"/>
  <c r="DL95" i="2"/>
  <c r="DA30" i="2"/>
  <c r="CZ30" i="2" s="1"/>
  <c r="DG30" i="2"/>
  <c r="DI30" i="2"/>
  <c r="DM30" i="2"/>
  <c r="DK30" i="2"/>
  <c r="DE30" i="2"/>
  <c r="DC30" i="2"/>
  <c r="DH30" i="2"/>
  <c r="DF30" i="2"/>
  <c r="DD30" i="2"/>
  <c r="DJ30" i="2"/>
  <c r="DN30" i="2"/>
  <c r="DV30" i="2" s="1"/>
  <c r="DL30" i="2"/>
  <c r="FZ6" i="2"/>
  <c r="BE25" i="2"/>
  <c r="GD6" i="2"/>
  <c r="BE29" i="2"/>
  <c r="FG301" i="2"/>
  <c r="DA100" i="2"/>
  <c r="CZ100" i="2" s="1"/>
  <c r="DH100" i="2"/>
  <c r="DC100" i="2"/>
  <c r="DD100" i="2"/>
  <c r="DM100" i="2"/>
  <c r="DE100" i="2"/>
  <c r="DJ100" i="2"/>
  <c r="DI100" i="2"/>
  <c r="DK100" i="2"/>
  <c r="DG100" i="2"/>
  <c r="DF100" i="2"/>
  <c r="DN100" i="2"/>
  <c r="DV100" i="2" s="1"/>
  <c r="DL100" i="2"/>
  <c r="BE33" i="2"/>
  <c r="AZ34" i="2"/>
  <c r="CT102" i="2"/>
  <c r="BA33" i="2" s="1"/>
  <c r="GH6" i="2" s="1"/>
  <c r="DB51" i="2"/>
  <c r="DA8" i="2"/>
  <c r="DM8" i="2"/>
  <c r="DM51" i="2" s="1"/>
  <c r="BB16" i="2" s="1"/>
  <c r="DC8" i="2"/>
  <c r="DC51" i="2" s="1"/>
  <c r="BB6" i="2" s="1"/>
  <c r="BB18" i="2" s="1"/>
  <c r="DH8" i="2"/>
  <c r="DH51" i="2" s="1"/>
  <c r="BB11" i="2" s="1"/>
  <c r="DF8" i="2"/>
  <c r="DF51" i="2" s="1"/>
  <c r="BB9" i="2" s="1"/>
  <c r="DE8" i="2"/>
  <c r="DE51" i="2" s="1"/>
  <c r="BB8" i="2" s="1"/>
  <c r="DJ8" i="2"/>
  <c r="DJ51" i="2" s="1"/>
  <c r="BB13" i="2" s="1"/>
  <c r="DK8" i="2"/>
  <c r="DK51" i="2" s="1"/>
  <c r="BB14" i="2" s="1"/>
  <c r="DD8" i="2"/>
  <c r="DD51" i="2" s="1"/>
  <c r="BB7" i="2" s="1"/>
  <c r="DI8" i="2"/>
  <c r="DI51" i="2" s="1"/>
  <c r="BB12" i="2" s="1"/>
  <c r="DG8" i="2"/>
  <c r="DG51" i="2" s="1"/>
  <c r="BB10" i="2" s="1"/>
  <c r="DN8" i="2"/>
  <c r="DV8" i="2" s="1"/>
  <c r="DL8" i="2"/>
  <c r="DL51" i="2" s="1"/>
  <c r="BB15" i="2" s="1"/>
  <c r="CG51" i="2"/>
  <c r="CF8" i="2"/>
  <c r="CF51" i="2" s="1"/>
  <c r="DA33" i="2"/>
  <c r="CZ33" i="2" s="1"/>
  <c r="DE33" i="2"/>
  <c r="DM33" i="2"/>
  <c r="DK33" i="2"/>
  <c r="DN33" i="2"/>
  <c r="DV33" i="2" s="1"/>
  <c r="DC33" i="2"/>
  <c r="DI33" i="2"/>
  <c r="DH33" i="2"/>
  <c r="DG33" i="2"/>
  <c r="DF33" i="2"/>
  <c r="DD33" i="2"/>
  <c r="DJ33" i="2"/>
  <c r="DL33" i="2"/>
  <c r="DA76" i="2"/>
  <c r="CZ76" i="2" s="1"/>
  <c r="DH76" i="2"/>
  <c r="DC76" i="2"/>
  <c r="DD76" i="2"/>
  <c r="DM76" i="2"/>
  <c r="DE76" i="2"/>
  <c r="DJ76" i="2"/>
  <c r="DI76" i="2"/>
  <c r="DN76" i="2"/>
  <c r="DV76" i="2" s="1"/>
  <c r="DK76" i="2"/>
  <c r="DG76" i="2"/>
  <c r="DF76" i="2"/>
  <c r="DL76" i="2"/>
  <c r="DA48" i="2"/>
  <c r="CZ48" i="2" s="1"/>
  <c r="DI48" i="2"/>
  <c r="DK48" i="2"/>
  <c r="DH48" i="2"/>
  <c r="DC48" i="2"/>
  <c r="DE48" i="2"/>
  <c r="DM48" i="2"/>
  <c r="DG48" i="2"/>
  <c r="DF48" i="2"/>
  <c r="DJ48" i="2"/>
  <c r="DN48" i="2"/>
  <c r="DV48" i="2" s="1"/>
  <c r="DD48" i="2"/>
  <c r="DL48" i="2"/>
  <c r="DA9" i="2"/>
  <c r="CZ9" i="2" s="1"/>
  <c r="DI9" i="2"/>
  <c r="DM9" i="2"/>
  <c r="DE9" i="2"/>
  <c r="DC9" i="2"/>
  <c r="DK9" i="2"/>
  <c r="DH9" i="2"/>
  <c r="DN9" i="2"/>
  <c r="DV9" i="2" s="1"/>
  <c r="DG9" i="2"/>
  <c r="DF9" i="2"/>
  <c r="DD9" i="2"/>
  <c r="DJ9" i="2"/>
  <c r="DL9" i="2"/>
  <c r="DA21" i="2"/>
  <c r="CZ21" i="2" s="1"/>
  <c r="DM21" i="2"/>
  <c r="DE21" i="2"/>
  <c r="DI21" i="2"/>
  <c r="DH21" i="2"/>
  <c r="DN21" i="2"/>
  <c r="DV21" i="2" s="1"/>
  <c r="DC21" i="2"/>
  <c r="DG21" i="2"/>
  <c r="DJ21" i="2"/>
  <c r="DF21" i="2"/>
  <c r="DK21" i="2"/>
  <c r="DD21" i="2"/>
  <c r="DL21" i="2"/>
  <c r="DA11" i="2"/>
  <c r="CZ11" i="2" s="1"/>
  <c r="DC11" i="2"/>
  <c r="DI11" i="2"/>
  <c r="DH11" i="2"/>
  <c r="DG11" i="2"/>
  <c r="DM11" i="2"/>
  <c r="DK11" i="2"/>
  <c r="DN11" i="2"/>
  <c r="DV11" i="2" s="1"/>
  <c r="DJ11" i="2"/>
  <c r="DE11" i="2"/>
  <c r="DF11" i="2"/>
  <c r="DD11" i="2"/>
  <c r="DL11" i="2"/>
  <c r="DA14" i="2"/>
  <c r="CZ14" i="2" s="1"/>
  <c r="DK14" i="2"/>
  <c r="DE14" i="2"/>
  <c r="DF14" i="2"/>
  <c r="DC14" i="2"/>
  <c r="DI14" i="2"/>
  <c r="DM14" i="2"/>
  <c r="DH14" i="2"/>
  <c r="DG14" i="2"/>
  <c r="DD14" i="2"/>
  <c r="DJ14" i="2"/>
  <c r="DN14" i="2"/>
  <c r="DV14" i="2" s="1"/>
  <c r="DL14" i="2"/>
  <c r="FH310" i="2"/>
  <c r="FH333" i="2"/>
  <c r="FH302" i="2"/>
  <c r="FH281" i="2"/>
  <c r="FH205" i="2"/>
  <c r="FI188" i="2"/>
  <c r="GR6" i="2"/>
  <c r="FJ206" i="2"/>
  <c r="FJ201" i="2"/>
  <c r="DA23" i="2"/>
  <c r="CZ23" i="2" s="1"/>
  <c r="DK23" i="2"/>
  <c r="DC23" i="2"/>
  <c r="DE23" i="2"/>
  <c r="DI23" i="2"/>
  <c r="DM23" i="2"/>
  <c r="DG23" i="2"/>
  <c r="DH23" i="2"/>
  <c r="DN23" i="2"/>
  <c r="DV23" i="2" s="1"/>
  <c r="DD23" i="2"/>
  <c r="DF23" i="2"/>
  <c r="DJ23" i="2"/>
  <c r="DL23" i="2"/>
  <c r="DA83" i="2"/>
  <c r="CZ83" i="2" s="1"/>
  <c r="DC83" i="2"/>
  <c r="DE83" i="2"/>
  <c r="DH83" i="2"/>
  <c r="DJ83" i="2"/>
  <c r="DD83" i="2"/>
  <c r="DM83" i="2"/>
  <c r="DI83" i="2"/>
  <c r="DF83" i="2"/>
  <c r="DN83" i="2"/>
  <c r="DV83" i="2" s="1"/>
  <c r="DK83" i="2"/>
  <c r="DG83" i="2"/>
  <c r="DL83" i="2"/>
  <c r="DA34" i="2"/>
  <c r="CZ34" i="2" s="1"/>
  <c r="DC34" i="2"/>
  <c r="DE34" i="2"/>
  <c r="DF34" i="2"/>
  <c r="DI34" i="2"/>
  <c r="DK34" i="2"/>
  <c r="DH34" i="2"/>
  <c r="DN34" i="2"/>
  <c r="DV34" i="2" s="1"/>
  <c r="DG34" i="2"/>
  <c r="DD34" i="2"/>
  <c r="DM34" i="2"/>
  <c r="DJ34" i="2"/>
  <c r="DL34" i="2"/>
  <c r="DA13" i="2"/>
  <c r="CZ13" i="2" s="1"/>
  <c r="DC13" i="2"/>
  <c r="DI13" i="2"/>
  <c r="DH13" i="2"/>
  <c r="DG13" i="2"/>
  <c r="DE13" i="2"/>
  <c r="DF13" i="2"/>
  <c r="DN13" i="2"/>
  <c r="DV13" i="2" s="1"/>
  <c r="DK13" i="2"/>
  <c r="DD13" i="2"/>
  <c r="DM13" i="2"/>
  <c r="DJ13" i="2"/>
  <c r="DL13" i="2"/>
  <c r="DA22" i="2"/>
  <c r="CZ22" i="2" s="1"/>
  <c r="DH22" i="2"/>
  <c r="DE22" i="2"/>
  <c r="DF22" i="2"/>
  <c r="DC22" i="2"/>
  <c r="DI22" i="2"/>
  <c r="DN22" i="2"/>
  <c r="DV22" i="2" s="1"/>
  <c r="DJ22" i="2"/>
  <c r="DK22" i="2"/>
  <c r="DM22" i="2"/>
  <c r="DD22" i="2"/>
  <c r="DG22" i="2"/>
  <c r="DL22" i="2"/>
  <c r="DA68" i="2"/>
  <c r="CZ68" i="2" s="1"/>
  <c r="DH68" i="2"/>
  <c r="DD68" i="2"/>
  <c r="DE68" i="2"/>
  <c r="DC68" i="2"/>
  <c r="DM68" i="2"/>
  <c r="DJ68" i="2"/>
  <c r="DN68" i="2"/>
  <c r="DV68" i="2" s="1"/>
  <c r="DF68" i="2"/>
  <c r="DG68" i="2"/>
  <c r="DK68" i="2"/>
  <c r="DI68" i="2"/>
  <c r="DL68" i="2"/>
  <c r="AB16" i="2"/>
  <c r="AE15" i="2"/>
  <c r="AA15" i="2"/>
  <c r="AC15" i="2"/>
  <c r="DA66" i="2"/>
  <c r="CZ66" i="2" s="1"/>
  <c r="DC66" i="2"/>
  <c r="DD66" i="2"/>
  <c r="DE66" i="2"/>
  <c r="DM66" i="2"/>
  <c r="DH66" i="2"/>
  <c r="DJ66" i="2"/>
  <c r="DG66" i="2"/>
  <c r="DF66" i="2"/>
  <c r="DK66" i="2"/>
  <c r="DI66" i="2"/>
  <c r="DN66" i="2"/>
  <c r="DV66" i="2" s="1"/>
  <c r="DL66" i="2"/>
  <c r="DA96" i="2"/>
  <c r="CZ96" i="2" s="1"/>
  <c r="DD96" i="2"/>
  <c r="DC96" i="2"/>
  <c r="DJ96" i="2"/>
  <c r="DE96" i="2"/>
  <c r="DH96" i="2"/>
  <c r="DK96" i="2"/>
  <c r="DN96" i="2"/>
  <c r="DV96" i="2" s="1"/>
  <c r="DM96" i="2"/>
  <c r="DG96" i="2"/>
  <c r="DI96" i="2"/>
  <c r="DF96" i="2"/>
  <c r="DL96" i="2"/>
  <c r="FY6" i="2"/>
  <c r="BE24" i="2"/>
  <c r="GO34" i="2"/>
  <c r="GO33" i="2" s="1"/>
  <c r="FG126" i="2"/>
  <c r="DA62" i="2"/>
  <c r="CZ62" i="2" s="1"/>
  <c r="DH62" i="2"/>
  <c r="DD62" i="2"/>
  <c r="DE62" i="2"/>
  <c r="DC62" i="2"/>
  <c r="DJ62" i="2"/>
  <c r="DF62" i="2"/>
  <c r="DK62" i="2"/>
  <c r="DI62" i="2"/>
  <c r="DN62" i="2"/>
  <c r="DV62" i="2" s="1"/>
  <c r="DG62" i="2"/>
  <c r="DM62" i="2"/>
  <c r="DL62" i="2"/>
  <c r="DA18" i="2"/>
  <c r="CZ18" i="2" s="1"/>
  <c r="DE18" i="2"/>
  <c r="DC18" i="2"/>
  <c r="DI18" i="2"/>
  <c r="DM18" i="2"/>
  <c r="DK18" i="2"/>
  <c r="DH18" i="2"/>
  <c r="DN18" i="2"/>
  <c r="DV18" i="2" s="1"/>
  <c r="DG18" i="2"/>
  <c r="DD18" i="2"/>
  <c r="DF18" i="2"/>
  <c r="DJ18" i="2"/>
  <c r="DL18" i="2"/>
  <c r="Z16" i="2"/>
  <c r="AK15" i="2"/>
  <c r="AJ15" i="2" s="1"/>
  <c r="DA25" i="2"/>
  <c r="CZ25" i="2" s="1"/>
  <c r="DE25" i="2"/>
  <c r="DK25" i="2"/>
  <c r="DC25" i="2"/>
  <c r="DG25" i="2"/>
  <c r="DF25" i="2"/>
  <c r="DM25" i="2"/>
  <c r="DJ25" i="2"/>
  <c r="DN25" i="2"/>
  <c r="DV25" i="2" s="1"/>
  <c r="DI25" i="2"/>
  <c r="DH25" i="2"/>
  <c r="DD25" i="2"/>
  <c r="DL25" i="2"/>
  <c r="DA67" i="2"/>
  <c r="CZ67" i="2" s="1"/>
  <c r="DH67" i="2"/>
  <c r="DD67" i="2"/>
  <c r="DE67" i="2"/>
  <c r="DJ67" i="2"/>
  <c r="DC67" i="2"/>
  <c r="DM67" i="2"/>
  <c r="DN67" i="2"/>
  <c r="DV67" i="2" s="1"/>
  <c r="DG67" i="2"/>
  <c r="DF67" i="2"/>
  <c r="DK67" i="2"/>
  <c r="DI67" i="2"/>
  <c r="DL67" i="2"/>
  <c r="DA81" i="2"/>
  <c r="CZ81" i="2" s="1"/>
  <c r="DD81" i="2"/>
  <c r="DC81" i="2"/>
  <c r="DE81" i="2"/>
  <c r="DH81" i="2"/>
  <c r="DJ81" i="2"/>
  <c r="DG81" i="2"/>
  <c r="DM81" i="2"/>
  <c r="DK81" i="2"/>
  <c r="DI81" i="2"/>
  <c r="DF81" i="2"/>
  <c r="DN81" i="2"/>
  <c r="DV81" i="2" s="1"/>
  <c r="DL81" i="2"/>
  <c r="DA71" i="2"/>
  <c r="CZ71" i="2" s="1"/>
  <c r="DD71" i="2"/>
  <c r="DE71" i="2"/>
  <c r="DC71" i="2"/>
  <c r="DM71" i="2"/>
  <c r="DH71" i="2"/>
  <c r="DF71" i="2"/>
  <c r="DG71" i="2"/>
  <c r="DJ71" i="2"/>
  <c r="DK71" i="2"/>
  <c r="DI71" i="2"/>
  <c r="DN71" i="2"/>
  <c r="DV71" i="2" s="1"/>
  <c r="DL71" i="2"/>
  <c r="DA44" i="2"/>
  <c r="CZ44" i="2" s="1"/>
  <c r="DE44" i="2"/>
  <c r="DC44" i="2"/>
  <c r="DN44" i="2"/>
  <c r="DV44" i="2" s="1"/>
  <c r="DM44" i="2"/>
  <c r="DJ44" i="2"/>
  <c r="DK44" i="2"/>
  <c r="DH44" i="2"/>
  <c r="DI44" i="2"/>
  <c r="DD44" i="2"/>
  <c r="DG44" i="2"/>
  <c r="DF44" i="2"/>
  <c r="DL44" i="2"/>
  <c r="AF14" i="2"/>
  <c r="AH14" i="2"/>
  <c r="FL6" i="2"/>
  <c r="DA15" i="2"/>
  <c r="CZ15" i="2" s="1"/>
  <c r="DH15" i="2"/>
  <c r="DC15" i="2"/>
  <c r="DE15" i="2"/>
  <c r="DM15" i="2"/>
  <c r="DK15" i="2"/>
  <c r="DG15" i="2"/>
  <c r="DF15" i="2"/>
  <c r="DI15" i="2"/>
  <c r="DN15" i="2"/>
  <c r="DV15" i="2" s="1"/>
  <c r="DJ15" i="2"/>
  <c r="DD15" i="2"/>
  <c r="DL15" i="2"/>
  <c r="DA10" i="2"/>
  <c r="CZ10" i="2" s="1"/>
  <c r="DM10" i="2"/>
  <c r="DC10" i="2"/>
  <c r="DE10" i="2"/>
  <c r="DI10" i="2"/>
  <c r="DG10" i="2"/>
  <c r="DN10" i="2"/>
  <c r="DV10" i="2" s="1"/>
  <c r="DF10" i="2"/>
  <c r="DK10" i="2"/>
  <c r="DJ10" i="2"/>
  <c r="DH10" i="2"/>
  <c r="DD10" i="2"/>
  <c r="DL10" i="2"/>
  <c r="DA28" i="2"/>
  <c r="CZ28" i="2" s="1"/>
  <c r="DE28" i="2"/>
  <c r="DC28" i="2"/>
  <c r="DM28" i="2"/>
  <c r="DH28" i="2"/>
  <c r="DN28" i="2"/>
  <c r="DV28" i="2" s="1"/>
  <c r="DI28" i="2"/>
  <c r="DK28" i="2"/>
  <c r="DF28" i="2"/>
  <c r="DJ28" i="2"/>
  <c r="DG28" i="2"/>
  <c r="DD28" i="2"/>
  <c r="DL28" i="2"/>
  <c r="DA35" i="2"/>
  <c r="CZ35" i="2" s="1"/>
  <c r="DC35" i="2"/>
  <c r="DI35" i="2"/>
  <c r="DN35" i="2"/>
  <c r="DV35" i="2" s="1"/>
  <c r="DM35" i="2"/>
  <c r="DJ35" i="2"/>
  <c r="DE35" i="2"/>
  <c r="DK35" i="2"/>
  <c r="DH35" i="2"/>
  <c r="DG35" i="2"/>
  <c r="DF35" i="2"/>
  <c r="DD35" i="2"/>
  <c r="DL35" i="2"/>
  <c r="DA89" i="2"/>
  <c r="CZ89" i="2" s="1"/>
  <c r="DD89" i="2"/>
  <c r="DH89" i="2"/>
  <c r="DE89" i="2"/>
  <c r="DM89" i="2"/>
  <c r="DG89" i="2"/>
  <c r="DC89" i="2"/>
  <c r="DF89" i="2"/>
  <c r="DJ89" i="2"/>
  <c r="DK89" i="2"/>
  <c r="DI89" i="2"/>
  <c r="DN89" i="2"/>
  <c r="DV89" i="2" s="1"/>
  <c r="DL89" i="2"/>
  <c r="DA29" i="2"/>
  <c r="CZ29" i="2" s="1"/>
  <c r="DK29" i="2"/>
  <c r="DE29" i="2"/>
  <c r="DC29" i="2"/>
  <c r="DJ29" i="2"/>
  <c r="DI29" i="2"/>
  <c r="DH29" i="2"/>
  <c r="DF29" i="2"/>
  <c r="DM29" i="2"/>
  <c r="DG29" i="2"/>
  <c r="DN29" i="2"/>
  <c r="DV29" i="2" s="1"/>
  <c r="DD29" i="2"/>
  <c r="DL29" i="2"/>
  <c r="BA34" i="2"/>
  <c r="FW6" i="2"/>
  <c r="BE22" i="2"/>
  <c r="GC6" i="2"/>
  <c r="BE28" i="2"/>
  <c r="DA59" i="2"/>
  <c r="CZ59" i="2" s="1"/>
  <c r="DD59" i="2"/>
  <c r="DD102" i="2" s="1"/>
  <c r="BB23" i="2" s="1"/>
  <c r="FX37" i="2" s="1"/>
  <c r="DE59" i="2"/>
  <c r="DE102" i="2" s="1"/>
  <c r="BB24" i="2" s="1"/>
  <c r="FY37" i="2" s="1"/>
  <c r="DC59" i="2"/>
  <c r="DC102" i="2" s="1"/>
  <c r="BB22" i="2" s="1"/>
  <c r="DJ59" i="2"/>
  <c r="DJ102" i="2" s="1"/>
  <c r="BB29" i="2" s="1"/>
  <c r="GD37" i="2" s="1"/>
  <c r="DM59" i="2"/>
  <c r="DM102" i="2" s="1"/>
  <c r="BB32" i="2" s="1"/>
  <c r="GG37" i="2" s="1"/>
  <c r="DG59" i="2"/>
  <c r="DG102" i="2" s="1"/>
  <c r="BB26" i="2" s="1"/>
  <c r="GA37" i="2" s="1"/>
  <c r="DF59" i="2"/>
  <c r="DF102" i="2" s="1"/>
  <c r="BB25" i="2" s="1"/>
  <c r="FZ37" i="2" s="1"/>
  <c r="DN59" i="2"/>
  <c r="DV59" i="2" s="1"/>
  <c r="DI59" i="2"/>
  <c r="DI102" i="2" s="1"/>
  <c r="BB28" i="2" s="1"/>
  <c r="GC37" i="2" s="1"/>
  <c r="DH59" i="2"/>
  <c r="DH102" i="2" s="1"/>
  <c r="BB27" i="2" s="1"/>
  <c r="GB37" i="2" s="1"/>
  <c r="DK59" i="2"/>
  <c r="DK102" i="2" s="1"/>
  <c r="BB30" i="2" s="1"/>
  <c r="GE37" i="2" s="1"/>
  <c r="DL59" i="2"/>
  <c r="DL102" i="2" s="1"/>
  <c r="BB31" i="2" s="1"/>
  <c r="GF37" i="2" s="1"/>
  <c r="FK199" i="2"/>
  <c r="FK183" i="2"/>
  <c r="FK9" i="2"/>
  <c r="GS11" i="2" s="1"/>
  <c r="FK8" i="2"/>
  <c r="FK7" i="2"/>
  <c r="GS7" i="2"/>
  <c r="FG362" i="2"/>
  <c r="DA78" i="2"/>
  <c r="CZ78" i="2" s="1"/>
  <c r="DH78" i="2"/>
  <c r="DM78" i="2"/>
  <c r="DD78" i="2"/>
  <c r="DE78" i="2"/>
  <c r="DC78" i="2"/>
  <c r="DK78" i="2"/>
  <c r="DG78" i="2"/>
  <c r="DF78" i="2"/>
  <c r="DN78" i="2"/>
  <c r="DV78" i="2" s="1"/>
  <c r="DI78" i="2"/>
  <c r="DJ78" i="2"/>
  <c r="DL78" i="2"/>
  <c r="DA97" i="2"/>
  <c r="CZ97" i="2" s="1"/>
  <c r="DE97" i="2"/>
  <c r="DD97" i="2"/>
  <c r="DJ97" i="2"/>
  <c r="DC97" i="2"/>
  <c r="DH97" i="2"/>
  <c r="DG97" i="2"/>
  <c r="DF97" i="2"/>
  <c r="DK97" i="2"/>
  <c r="DN97" i="2"/>
  <c r="DV97" i="2" s="1"/>
  <c r="DM97" i="2"/>
  <c r="DI97" i="2"/>
  <c r="DL97" i="2"/>
  <c r="DA41" i="2"/>
  <c r="CZ41" i="2" s="1"/>
  <c r="DC41" i="2"/>
  <c r="DG41" i="2"/>
  <c r="DF41" i="2"/>
  <c r="DE41" i="2"/>
  <c r="DM41" i="2"/>
  <c r="DJ41" i="2"/>
  <c r="DI41" i="2"/>
  <c r="DN41" i="2"/>
  <c r="DV41" i="2" s="1"/>
  <c r="DK41" i="2"/>
  <c r="DH41" i="2"/>
  <c r="DD41" i="2"/>
  <c r="DL41" i="2"/>
  <c r="BE31" i="2"/>
  <c r="DA86" i="2"/>
  <c r="CZ86" i="2" s="1"/>
  <c r="DE86" i="2"/>
  <c r="DD86" i="2"/>
  <c r="DH86" i="2"/>
  <c r="DJ86" i="2"/>
  <c r="DI86" i="2"/>
  <c r="DG86" i="2"/>
  <c r="DF86" i="2"/>
  <c r="DK86" i="2"/>
  <c r="DN86" i="2"/>
  <c r="DV86" i="2" s="1"/>
  <c r="DC86" i="2"/>
  <c r="DM86" i="2"/>
  <c r="DL86" i="2"/>
  <c r="DA82" i="2"/>
  <c r="CZ82" i="2" s="1"/>
  <c r="DD82" i="2"/>
  <c r="DE82" i="2"/>
  <c r="DH82" i="2"/>
  <c r="DC82" i="2"/>
  <c r="DJ82" i="2"/>
  <c r="DK82" i="2"/>
  <c r="DN82" i="2"/>
  <c r="DV82" i="2" s="1"/>
  <c r="DF82" i="2"/>
  <c r="DM82" i="2"/>
  <c r="DI82" i="2"/>
  <c r="DG82" i="2"/>
  <c r="DL82" i="2"/>
  <c r="DA73" i="2"/>
  <c r="CZ73" i="2" s="1"/>
  <c r="DE73" i="2"/>
  <c r="DH73" i="2"/>
  <c r="DD73" i="2"/>
  <c r="DJ73" i="2"/>
  <c r="DK73" i="2"/>
  <c r="DI73" i="2"/>
  <c r="DG73" i="2"/>
  <c r="DN73" i="2"/>
  <c r="DV73" i="2" s="1"/>
  <c r="DF73" i="2"/>
  <c r="DC73" i="2"/>
  <c r="DM73" i="2"/>
  <c r="DL73" i="2"/>
  <c r="DA24" i="2"/>
  <c r="CZ24" i="2" s="1"/>
  <c r="DH24" i="2"/>
  <c r="DN24" i="2"/>
  <c r="DV24" i="2" s="1"/>
  <c r="DE24" i="2"/>
  <c r="DC24" i="2"/>
  <c r="DI24" i="2"/>
  <c r="DM24" i="2"/>
  <c r="DK24" i="2"/>
  <c r="DF24" i="2"/>
  <c r="DJ24" i="2"/>
  <c r="DD24" i="2"/>
  <c r="DG24" i="2"/>
  <c r="DL24" i="2"/>
  <c r="DA47" i="2"/>
  <c r="CZ47" i="2" s="1"/>
  <c r="DI47" i="2"/>
  <c r="DH47" i="2"/>
  <c r="DN47" i="2"/>
  <c r="DV47" i="2" s="1"/>
  <c r="DC47" i="2"/>
  <c r="DE47" i="2"/>
  <c r="DM47" i="2"/>
  <c r="DK47" i="2"/>
  <c r="DG47" i="2"/>
  <c r="DJ47" i="2"/>
  <c r="DD47" i="2"/>
  <c r="DF47" i="2"/>
  <c r="DL47" i="2"/>
  <c r="DA36" i="2"/>
  <c r="CZ36" i="2" s="1"/>
  <c r="DE36" i="2"/>
  <c r="DM36" i="2"/>
  <c r="DG36" i="2"/>
  <c r="DI36" i="2"/>
  <c r="DK36" i="2"/>
  <c r="DH36" i="2"/>
  <c r="DN36" i="2"/>
  <c r="DV36" i="2" s="1"/>
  <c r="DC36" i="2"/>
  <c r="DF36" i="2"/>
  <c r="DJ36" i="2"/>
  <c r="DD36" i="2"/>
  <c r="DL36" i="2"/>
  <c r="DA42" i="2"/>
  <c r="CZ42" i="2" s="1"/>
  <c r="DI42" i="2"/>
  <c r="DK42" i="2"/>
  <c r="DH42" i="2"/>
  <c r="DC42" i="2"/>
  <c r="DE42" i="2"/>
  <c r="DG42" i="2"/>
  <c r="DF42" i="2"/>
  <c r="DM42" i="2"/>
  <c r="DJ42" i="2"/>
  <c r="DN42" i="2"/>
  <c r="DV42" i="2" s="1"/>
  <c r="DD42" i="2"/>
  <c r="DL42" i="2"/>
  <c r="DA74" i="2"/>
  <c r="CZ74" i="2" s="1"/>
  <c r="DC74" i="2"/>
  <c r="DD74" i="2"/>
  <c r="DE74" i="2"/>
  <c r="DJ74" i="2"/>
  <c r="DG74" i="2"/>
  <c r="DN74" i="2"/>
  <c r="DV74" i="2" s="1"/>
  <c r="DF74" i="2"/>
  <c r="DM74" i="2"/>
  <c r="DK74" i="2"/>
  <c r="DI74" i="2"/>
  <c r="DH74" i="2"/>
  <c r="DL74" i="2"/>
  <c r="DA87" i="2"/>
  <c r="CZ87" i="2" s="1"/>
  <c r="DC87" i="2"/>
  <c r="DD87" i="2"/>
  <c r="DE87" i="2"/>
  <c r="DH87" i="2"/>
  <c r="DJ87" i="2"/>
  <c r="DM87" i="2"/>
  <c r="DI87" i="2"/>
  <c r="DG87" i="2"/>
  <c r="DN87" i="2"/>
  <c r="DV87" i="2" s="1"/>
  <c r="DF87" i="2"/>
  <c r="DK87" i="2"/>
  <c r="DL87" i="2"/>
  <c r="FX6" i="2"/>
  <c r="BE23" i="2"/>
  <c r="DA60" i="2"/>
  <c r="CZ60" i="2" s="1"/>
  <c r="DE60" i="2"/>
  <c r="DH60" i="2"/>
  <c r="DC60" i="2"/>
  <c r="DM60" i="2"/>
  <c r="DD60" i="2"/>
  <c r="DI60" i="2"/>
  <c r="DF60" i="2"/>
  <c r="DK60" i="2"/>
  <c r="DN60" i="2"/>
  <c r="DV60" i="2" s="1"/>
  <c r="DG60" i="2"/>
  <c r="DJ60" i="2"/>
  <c r="DL60" i="2"/>
  <c r="FF100" i="2"/>
  <c r="DN51" i="2"/>
  <c r="BB17" i="2" s="1"/>
  <c r="HR20" i="2"/>
  <c r="BA18" i="2"/>
  <c r="BE6" i="2"/>
  <c r="DA65" i="2"/>
  <c r="CZ65" i="2" s="1"/>
  <c r="DH65" i="2"/>
  <c r="DD65" i="2"/>
  <c r="DE65" i="2"/>
  <c r="DC65" i="2"/>
  <c r="DI65" i="2"/>
  <c r="DK65" i="2"/>
  <c r="DJ65" i="2"/>
  <c r="DN65" i="2"/>
  <c r="DV65" i="2" s="1"/>
  <c r="DF65" i="2"/>
  <c r="DM65" i="2"/>
  <c r="DG65" i="2"/>
  <c r="DL65" i="2"/>
  <c r="DA90" i="2"/>
  <c r="CZ90" i="2" s="1"/>
  <c r="DE90" i="2"/>
  <c r="DC90" i="2"/>
  <c r="DD90" i="2"/>
  <c r="DH90" i="2"/>
  <c r="DJ90" i="2"/>
  <c r="DN90" i="2"/>
  <c r="DV90" i="2" s="1"/>
  <c r="DG90" i="2"/>
  <c r="DM90" i="2"/>
  <c r="DF90" i="2"/>
  <c r="DK90" i="2"/>
  <c r="DI90" i="2"/>
  <c r="DL90" i="2"/>
  <c r="DA46" i="2"/>
  <c r="CZ46" i="2" s="1"/>
  <c r="DE46" i="2"/>
  <c r="DC46" i="2"/>
  <c r="DN46" i="2"/>
  <c r="DV46" i="2" s="1"/>
  <c r="DI46" i="2"/>
  <c r="DH46" i="2"/>
  <c r="DG46" i="2"/>
  <c r="DF46" i="2"/>
  <c r="DJ46" i="2"/>
  <c r="DM46" i="2"/>
  <c r="DK46" i="2"/>
  <c r="DD46" i="2"/>
  <c r="DL46" i="2"/>
  <c r="DA80" i="2"/>
  <c r="CZ80" i="2" s="1"/>
  <c r="DD80" i="2"/>
  <c r="DH80" i="2"/>
  <c r="DE80" i="2"/>
  <c r="DC80" i="2"/>
  <c r="DM80" i="2"/>
  <c r="DJ80" i="2"/>
  <c r="DK80" i="2"/>
  <c r="DF80" i="2"/>
  <c r="DI80" i="2"/>
  <c r="DG80" i="2"/>
  <c r="DN80" i="2"/>
  <c r="DV80" i="2" s="1"/>
  <c r="DL80" i="2"/>
  <c r="DA40" i="2"/>
  <c r="CZ40" i="2" s="1"/>
  <c r="DC40" i="2"/>
  <c r="DN40" i="2"/>
  <c r="DV40" i="2" s="1"/>
  <c r="DE40" i="2"/>
  <c r="DM40" i="2"/>
  <c r="DG40" i="2"/>
  <c r="DJ40" i="2"/>
  <c r="DI40" i="2"/>
  <c r="DK40" i="2"/>
  <c r="DH40" i="2"/>
  <c r="DF40" i="2"/>
  <c r="DD40" i="2"/>
  <c r="DL40" i="2"/>
  <c r="DA64" i="2"/>
  <c r="CZ64" i="2" s="1"/>
  <c r="DD64" i="2"/>
  <c r="DE64" i="2"/>
  <c r="DH64" i="2"/>
  <c r="DJ64" i="2"/>
  <c r="DC64" i="2"/>
  <c r="DK64" i="2"/>
  <c r="DI64" i="2"/>
  <c r="DN64" i="2"/>
  <c r="DV64" i="2" s="1"/>
  <c r="DM64" i="2"/>
  <c r="DF64" i="2"/>
  <c r="DG64" i="2"/>
  <c r="DL64" i="2"/>
  <c r="FI357" i="2"/>
  <c r="FI204" i="2"/>
  <c r="FI202" i="2"/>
  <c r="FI203" i="2"/>
  <c r="GG15" i="2" l="1"/>
  <c r="GG10" i="2"/>
  <c r="FI333" i="2"/>
  <c r="FI158" i="2" s="1"/>
  <c r="FI310" i="2"/>
  <c r="FI135" i="2" s="1"/>
  <c r="FI302" i="2"/>
  <c r="FI301" i="2" s="1"/>
  <c r="FI281" i="2"/>
  <c r="FI205" i="2"/>
  <c r="FF32" i="2"/>
  <c r="FX9" i="2"/>
  <c r="FX7" i="2"/>
  <c r="FX8" i="2"/>
  <c r="GF40" i="2"/>
  <c r="GF38" i="2"/>
  <c r="GF39" i="2" s="1"/>
  <c r="DU89" i="2"/>
  <c r="DT89" i="2" s="1"/>
  <c r="DW89" i="2"/>
  <c r="DY89" i="2"/>
  <c r="EG89" i="2"/>
  <c r="EH89" i="2"/>
  <c r="EP89" i="2" s="1"/>
  <c r="EB89" i="2"/>
  <c r="EC89" i="2"/>
  <c r="ED89" i="2"/>
  <c r="DX89" i="2"/>
  <c r="DZ89" i="2"/>
  <c r="EE89" i="2"/>
  <c r="EA89" i="2"/>
  <c r="EF89" i="2"/>
  <c r="DU101" i="2"/>
  <c r="DT101" i="2" s="1"/>
  <c r="DW101" i="2"/>
  <c r="DY101" i="2"/>
  <c r="EG101" i="2"/>
  <c r="EH101" i="2"/>
  <c r="EP101" i="2" s="1"/>
  <c r="DZ101" i="2"/>
  <c r="ED101" i="2"/>
  <c r="DX101" i="2"/>
  <c r="EA101" i="2"/>
  <c r="EE101" i="2"/>
  <c r="EC101" i="2"/>
  <c r="EB101" i="2"/>
  <c r="EF101" i="2"/>
  <c r="DU31" i="2"/>
  <c r="DT31" i="2" s="1"/>
  <c r="DY31" i="2"/>
  <c r="DX31" i="2"/>
  <c r="EA31" i="2"/>
  <c r="EE31" i="2"/>
  <c r="DZ31" i="2"/>
  <c r="EB31" i="2"/>
  <c r="EC31" i="2"/>
  <c r="EH31" i="2"/>
  <c r="EP31" i="2" s="1"/>
  <c r="EG31" i="2"/>
  <c r="DW31" i="2"/>
  <c r="ED31" i="2"/>
  <c r="EF31" i="2"/>
  <c r="DU12" i="2"/>
  <c r="DT12" i="2" s="1"/>
  <c r="DZ12" i="2"/>
  <c r="DX12" i="2"/>
  <c r="EE12" i="2"/>
  <c r="EB12" i="2"/>
  <c r="EC12" i="2"/>
  <c r="DY12" i="2"/>
  <c r="EA12" i="2"/>
  <c r="EG12" i="2"/>
  <c r="ED12" i="2"/>
  <c r="DW12" i="2"/>
  <c r="EH12" i="2"/>
  <c r="EP12" i="2" s="1"/>
  <c r="EF12" i="2"/>
  <c r="DU92" i="2"/>
  <c r="DT92" i="2" s="1"/>
  <c r="DW92" i="2"/>
  <c r="DY92" i="2"/>
  <c r="EH92" i="2"/>
  <c r="EP92" i="2" s="1"/>
  <c r="EG92" i="2"/>
  <c r="DX92" i="2"/>
  <c r="ED92" i="2"/>
  <c r="EE92" i="2"/>
  <c r="EB92" i="2"/>
  <c r="EC92" i="2"/>
  <c r="EA92" i="2"/>
  <c r="DZ92" i="2"/>
  <c r="EF92" i="2"/>
  <c r="DU77" i="2"/>
  <c r="DT77" i="2" s="1"/>
  <c r="DW77" i="2"/>
  <c r="ED77" i="2"/>
  <c r="DY77" i="2"/>
  <c r="EG77" i="2"/>
  <c r="EH77" i="2"/>
  <c r="EP77" i="2" s="1"/>
  <c r="EA77" i="2"/>
  <c r="DZ77" i="2"/>
  <c r="DX77" i="2"/>
  <c r="EE77" i="2"/>
  <c r="EB77" i="2"/>
  <c r="EC77" i="2"/>
  <c r="EF77" i="2"/>
  <c r="DU99" i="2"/>
  <c r="DT99" i="2" s="1"/>
  <c r="DW99" i="2"/>
  <c r="EH99" i="2"/>
  <c r="EP99" i="2" s="1"/>
  <c r="ED99" i="2"/>
  <c r="EA99" i="2"/>
  <c r="DY99" i="2"/>
  <c r="DX99" i="2"/>
  <c r="EB99" i="2"/>
  <c r="EC99" i="2"/>
  <c r="DZ99" i="2"/>
  <c r="EG99" i="2"/>
  <c r="EE99" i="2"/>
  <c r="EF99" i="2"/>
  <c r="GF15" i="2"/>
  <c r="GF10" i="2"/>
  <c r="DU38" i="2"/>
  <c r="DT38" i="2" s="1"/>
  <c r="DX38" i="2"/>
  <c r="EE38" i="2"/>
  <c r="DZ38" i="2"/>
  <c r="DY38" i="2"/>
  <c r="EC38" i="2"/>
  <c r="EB38" i="2"/>
  <c r="EH38" i="2"/>
  <c r="EP38" i="2" s="1"/>
  <c r="EG38" i="2"/>
  <c r="ED38" i="2"/>
  <c r="EA38" i="2"/>
  <c r="DW38" i="2"/>
  <c r="EF38" i="2"/>
  <c r="GB9" i="2"/>
  <c r="GB7" i="2"/>
  <c r="GB8" i="2"/>
  <c r="DU24" i="2"/>
  <c r="DT24" i="2" s="1"/>
  <c r="EE24" i="2"/>
  <c r="DZ24" i="2"/>
  <c r="DY24" i="2"/>
  <c r="EB24" i="2"/>
  <c r="DX24" i="2"/>
  <c r="EC24" i="2"/>
  <c r="ED24" i="2"/>
  <c r="EA24" i="2"/>
  <c r="DW24" i="2"/>
  <c r="EH24" i="2"/>
  <c r="EP24" i="2" s="1"/>
  <c r="EG24" i="2"/>
  <c r="EF24" i="2"/>
  <c r="GE38" i="2"/>
  <c r="GE39" i="2" s="1"/>
  <c r="GE40" i="2"/>
  <c r="DU49" i="2"/>
  <c r="DT49" i="2" s="1"/>
  <c r="DZ49" i="2"/>
  <c r="DY49" i="2"/>
  <c r="EE49" i="2"/>
  <c r="DX49" i="2"/>
  <c r="EA49" i="2"/>
  <c r="EC49" i="2"/>
  <c r="EH49" i="2"/>
  <c r="EP49" i="2" s="1"/>
  <c r="EG49" i="2"/>
  <c r="EB49" i="2"/>
  <c r="ED49" i="2"/>
  <c r="DW49" i="2"/>
  <c r="EF49" i="2"/>
  <c r="DU70" i="2"/>
  <c r="DT70" i="2" s="1"/>
  <c r="DY70" i="2"/>
  <c r="DW70" i="2"/>
  <c r="EC70" i="2"/>
  <c r="EA70" i="2"/>
  <c r="DZ70" i="2"/>
  <c r="ED70" i="2"/>
  <c r="EH70" i="2"/>
  <c r="EP70" i="2" s="1"/>
  <c r="EB70" i="2"/>
  <c r="DX70" i="2"/>
  <c r="EE70" i="2"/>
  <c r="EG70" i="2"/>
  <c r="EF70" i="2"/>
  <c r="DU43" i="2"/>
  <c r="DT43" i="2" s="1"/>
  <c r="DX43" i="2"/>
  <c r="DZ43" i="2"/>
  <c r="DY43" i="2"/>
  <c r="EE43" i="2"/>
  <c r="EB43" i="2"/>
  <c r="EA43" i="2"/>
  <c r="DW43" i="2"/>
  <c r="ED43" i="2"/>
  <c r="EH43" i="2"/>
  <c r="EP43" i="2" s="1"/>
  <c r="EC43" i="2"/>
  <c r="EG43" i="2"/>
  <c r="EF43" i="2"/>
  <c r="DU72" i="2"/>
  <c r="DT72" i="2" s="1"/>
  <c r="DW72" i="2"/>
  <c r="DY72" i="2"/>
  <c r="EG72" i="2"/>
  <c r="DX72" i="2"/>
  <c r="EB72" i="2"/>
  <c r="EA72" i="2"/>
  <c r="DZ72" i="2"/>
  <c r="EH72" i="2"/>
  <c r="EP72" i="2" s="1"/>
  <c r="EE72" i="2"/>
  <c r="EC72" i="2"/>
  <c r="ED72" i="2"/>
  <c r="EF72" i="2"/>
  <c r="GE8" i="2"/>
  <c r="GE9" i="2"/>
  <c r="GE7" i="2"/>
  <c r="DU37" i="2"/>
  <c r="DT37" i="2" s="1"/>
  <c r="EE37" i="2"/>
  <c r="DX37" i="2"/>
  <c r="DZ37" i="2"/>
  <c r="DY37" i="2"/>
  <c r="EA37" i="2"/>
  <c r="EC37" i="2"/>
  <c r="DW37" i="2"/>
  <c r="EH37" i="2"/>
  <c r="EP37" i="2" s="1"/>
  <c r="EG37" i="2"/>
  <c r="ED37" i="2"/>
  <c r="EB37" i="2"/>
  <c r="EF37" i="2"/>
  <c r="HT20" i="2"/>
  <c r="DU79" i="2"/>
  <c r="DT79" i="2" s="1"/>
  <c r="DY79" i="2"/>
  <c r="DW79" i="2"/>
  <c r="EH79" i="2"/>
  <c r="EP79" i="2" s="1"/>
  <c r="EG79" i="2"/>
  <c r="ED79" i="2"/>
  <c r="EE79" i="2"/>
  <c r="EB79" i="2"/>
  <c r="DX79" i="2"/>
  <c r="EC79" i="2"/>
  <c r="EA79" i="2"/>
  <c r="DZ79" i="2"/>
  <c r="EF79" i="2"/>
  <c r="HQ19" i="2"/>
  <c r="DU94" i="2"/>
  <c r="DT94" i="2" s="1"/>
  <c r="DW94" i="2"/>
  <c r="DY94" i="2"/>
  <c r="EG94" i="2"/>
  <c r="ED94" i="2"/>
  <c r="EH94" i="2"/>
  <c r="EP94" i="2" s="1"/>
  <c r="DX94" i="2"/>
  <c r="EE94" i="2"/>
  <c r="EB94" i="2"/>
  <c r="EC94" i="2"/>
  <c r="DZ94" i="2"/>
  <c r="EA94" i="2"/>
  <c r="EF94" i="2"/>
  <c r="DU88" i="2"/>
  <c r="DT88" i="2" s="1"/>
  <c r="DW88" i="2"/>
  <c r="DY88" i="2"/>
  <c r="EH88" i="2"/>
  <c r="EP88" i="2" s="1"/>
  <c r="EG88" i="2"/>
  <c r="ED88" i="2"/>
  <c r="DX88" i="2"/>
  <c r="EB88" i="2"/>
  <c r="DZ88" i="2"/>
  <c r="EE88" i="2"/>
  <c r="EC88" i="2"/>
  <c r="EA88" i="2"/>
  <c r="EF88" i="2"/>
  <c r="GR17" i="2"/>
  <c r="DU64" i="2"/>
  <c r="DT64" i="2" s="1"/>
  <c r="DW64" i="2"/>
  <c r="EG64" i="2"/>
  <c r="ED64" i="2"/>
  <c r="DY64" i="2"/>
  <c r="EH64" i="2"/>
  <c r="EP64" i="2" s="1"/>
  <c r="EE64" i="2"/>
  <c r="DZ64" i="2"/>
  <c r="EC64" i="2"/>
  <c r="DX64" i="2"/>
  <c r="EA64" i="2"/>
  <c r="EB64" i="2"/>
  <c r="EF64" i="2"/>
  <c r="DU87" i="2"/>
  <c r="DT87" i="2" s="1"/>
  <c r="DW87" i="2"/>
  <c r="DY87" i="2"/>
  <c r="ED87" i="2"/>
  <c r="EH87" i="2"/>
  <c r="EP87" i="2" s="1"/>
  <c r="EC87" i="2"/>
  <c r="EA87" i="2"/>
  <c r="EG87" i="2"/>
  <c r="EE87" i="2"/>
  <c r="DZ87" i="2"/>
  <c r="DX87" i="2"/>
  <c r="EB87" i="2"/>
  <c r="EF87" i="2"/>
  <c r="GD38" i="2"/>
  <c r="GD39" i="2"/>
  <c r="GD40" i="2"/>
  <c r="FW8" i="2"/>
  <c r="FW9" i="2"/>
  <c r="GI9" i="2" s="1"/>
  <c r="GJ9" i="2" s="1"/>
  <c r="FW7" i="2"/>
  <c r="GI7" i="2" s="1"/>
  <c r="GI6" i="2"/>
  <c r="DU28" i="2"/>
  <c r="DT28" i="2" s="1"/>
  <c r="DZ28" i="2"/>
  <c r="DY28" i="2"/>
  <c r="DX28" i="2"/>
  <c r="EE28" i="2"/>
  <c r="EA28" i="2"/>
  <c r="EG28" i="2"/>
  <c r="ED28" i="2"/>
  <c r="EB28" i="2"/>
  <c r="EC28" i="2"/>
  <c r="EH28" i="2"/>
  <c r="EP28" i="2" s="1"/>
  <c r="DW28" i="2"/>
  <c r="EF28" i="2"/>
  <c r="FH301" i="2"/>
  <c r="FZ9" i="2"/>
  <c r="FZ7" i="2"/>
  <c r="FZ8" i="2" s="1"/>
  <c r="DU91" i="2"/>
  <c r="DT91" i="2" s="1"/>
  <c r="DY91" i="2"/>
  <c r="DW91" i="2"/>
  <c r="EH91" i="2"/>
  <c r="EP91" i="2" s="1"/>
  <c r="ED91" i="2"/>
  <c r="DX91" i="2"/>
  <c r="EE91" i="2"/>
  <c r="EA91" i="2"/>
  <c r="EB91" i="2"/>
  <c r="EC91" i="2"/>
  <c r="DZ91" i="2"/>
  <c r="EG91" i="2"/>
  <c r="EF91" i="2"/>
  <c r="DU17" i="2"/>
  <c r="DT17" i="2" s="1"/>
  <c r="EE17" i="2"/>
  <c r="DZ17" i="2"/>
  <c r="EC17" i="2"/>
  <c r="DX17" i="2"/>
  <c r="EA17" i="2"/>
  <c r="DY17" i="2"/>
  <c r="EH17" i="2"/>
  <c r="EP17" i="2" s="1"/>
  <c r="ED17" i="2"/>
  <c r="DW17" i="2"/>
  <c r="EG17" i="2"/>
  <c r="EB17" i="2"/>
  <c r="EF17" i="2"/>
  <c r="BF30" i="2"/>
  <c r="DU46" i="2"/>
  <c r="DT46" i="2" s="1"/>
  <c r="EE46" i="2"/>
  <c r="DX46" i="2"/>
  <c r="DZ46" i="2"/>
  <c r="DY46" i="2"/>
  <c r="EA46" i="2"/>
  <c r="EC46" i="2"/>
  <c r="EH46" i="2"/>
  <c r="EP46" i="2" s="1"/>
  <c r="EG46" i="2"/>
  <c r="ED46" i="2"/>
  <c r="EB46" i="2"/>
  <c r="DW46" i="2"/>
  <c r="EF46" i="2"/>
  <c r="DU60" i="2"/>
  <c r="DT60" i="2" s="1"/>
  <c r="DW60" i="2"/>
  <c r="EH60" i="2"/>
  <c r="EP60" i="2" s="1"/>
  <c r="ED60" i="2"/>
  <c r="DX60" i="2"/>
  <c r="EA60" i="2"/>
  <c r="DZ60" i="2"/>
  <c r="EB60" i="2"/>
  <c r="EC60" i="2"/>
  <c r="EG60" i="2"/>
  <c r="DY60" i="2"/>
  <c r="EE60" i="2"/>
  <c r="EF60" i="2"/>
  <c r="DU42" i="2"/>
  <c r="DT42" i="2" s="1"/>
  <c r="DX42" i="2"/>
  <c r="EC42" i="2"/>
  <c r="EE42" i="2"/>
  <c r="EA42" i="2"/>
  <c r="EB42" i="2"/>
  <c r="EH42" i="2"/>
  <c r="EP42" i="2" s="1"/>
  <c r="ED42" i="2"/>
  <c r="DY42" i="2"/>
  <c r="EG42" i="2"/>
  <c r="DZ42" i="2"/>
  <c r="DW42" i="2"/>
  <c r="EF42" i="2"/>
  <c r="DU97" i="2"/>
  <c r="DT97" i="2" s="1"/>
  <c r="DW97" i="2"/>
  <c r="DY97" i="2"/>
  <c r="EH97" i="2"/>
  <c r="EP97" i="2" s="1"/>
  <c r="ED97" i="2"/>
  <c r="EG97" i="2"/>
  <c r="EC97" i="2"/>
  <c r="EE97" i="2"/>
  <c r="EA97" i="2"/>
  <c r="DZ97" i="2"/>
  <c r="DX97" i="2"/>
  <c r="EB97" i="2"/>
  <c r="EF97" i="2"/>
  <c r="FZ38" i="2"/>
  <c r="FZ39" i="2"/>
  <c r="FZ40" i="2"/>
  <c r="BF28" i="2"/>
  <c r="DU96" i="2"/>
  <c r="DT96" i="2" s="1"/>
  <c r="DW96" i="2"/>
  <c r="DY96" i="2"/>
  <c r="EH96" i="2"/>
  <c r="EP96" i="2" s="1"/>
  <c r="EG96" i="2"/>
  <c r="ED96" i="2"/>
  <c r="EA96" i="2"/>
  <c r="EE96" i="2"/>
  <c r="EB96" i="2"/>
  <c r="EC96" i="2"/>
  <c r="DX96" i="2"/>
  <c r="DZ96" i="2"/>
  <c r="EF96" i="2"/>
  <c r="DU23" i="2"/>
  <c r="DT23" i="2" s="1"/>
  <c r="DX23" i="2"/>
  <c r="EE23" i="2"/>
  <c r="DZ23" i="2"/>
  <c r="DY23" i="2"/>
  <c r="EB23" i="2"/>
  <c r="EC23" i="2"/>
  <c r="ED23" i="2"/>
  <c r="EH23" i="2"/>
  <c r="EP23" i="2" s="1"/>
  <c r="EG23" i="2"/>
  <c r="EA23" i="2"/>
  <c r="DW23" i="2"/>
  <c r="EF23" i="2"/>
  <c r="DU14" i="2"/>
  <c r="DT14" i="2" s="1"/>
  <c r="DX14" i="2"/>
  <c r="EE14" i="2"/>
  <c r="DY14" i="2"/>
  <c r="EB14" i="2"/>
  <c r="DZ14" i="2"/>
  <c r="EC14" i="2"/>
  <c r="EG14" i="2"/>
  <c r="EA14" i="2"/>
  <c r="EH14" i="2"/>
  <c r="EP14" i="2" s="1"/>
  <c r="ED14" i="2"/>
  <c r="DW14" i="2"/>
  <c r="EF14" i="2"/>
  <c r="DA51" i="2"/>
  <c r="CZ8" i="2"/>
  <c r="CZ51" i="2" s="1"/>
  <c r="DU95" i="2"/>
  <c r="DT95" i="2" s="1"/>
  <c r="DW95" i="2"/>
  <c r="DY95" i="2"/>
  <c r="ED95" i="2"/>
  <c r="DX95" i="2"/>
  <c r="EE95" i="2"/>
  <c r="EG95" i="2"/>
  <c r="EC95" i="2"/>
  <c r="EA95" i="2"/>
  <c r="DZ95" i="2"/>
  <c r="EH95" i="2"/>
  <c r="EP95" i="2" s="1"/>
  <c r="EB95" i="2"/>
  <c r="EF95" i="2"/>
  <c r="DU75" i="2"/>
  <c r="DT75" i="2" s="1"/>
  <c r="DW75" i="2"/>
  <c r="DY75" i="2"/>
  <c r="EG75" i="2"/>
  <c r="EH75" i="2"/>
  <c r="EP75" i="2" s="1"/>
  <c r="ED75" i="2"/>
  <c r="EB75" i="2"/>
  <c r="DZ75" i="2"/>
  <c r="DX75" i="2"/>
  <c r="EE75" i="2"/>
  <c r="EC75" i="2"/>
  <c r="EA75" i="2"/>
  <c r="EF75" i="2"/>
  <c r="DU65" i="2"/>
  <c r="DT65" i="2" s="1"/>
  <c r="DW65" i="2"/>
  <c r="EH65" i="2"/>
  <c r="EP65" i="2" s="1"/>
  <c r="ED65" i="2"/>
  <c r="DY65" i="2"/>
  <c r="EE65" i="2"/>
  <c r="EB65" i="2"/>
  <c r="EC65" i="2"/>
  <c r="DZ65" i="2"/>
  <c r="EG65" i="2"/>
  <c r="DX65" i="2"/>
  <c r="EA65" i="2"/>
  <c r="EF65" i="2"/>
  <c r="DU47" i="2"/>
  <c r="DT47" i="2" s="1"/>
  <c r="DY47" i="2"/>
  <c r="EE47" i="2"/>
  <c r="EB47" i="2"/>
  <c r="DX47" i="2"/>
  <c r="EA47" i="2"/>
  <c r="EC47" i="2"/>
  <c r="DZ47" i="2"/>
  <c r="ED47" i="2"/>
  <c r="EG47" i="2"/>
  <c r="EH47" i="2"/>
  <c r="EP47" i="2" s="1"/>
  <c r="DW47" i="2"/>
  <c r="EF47" i="2"/>
  <c r="DN102" i="2"/>
  <c r="BB33" i="2" s="1"/>
  <c r="GH37" i="2" s="1"/>
  <c r="DU78" i="2"/>
  <c r="DT78" i="2" s="1"/>
  <c r="DW78" i="2"/>
  <c r="EH78" i="2"/>
  <c r="EP78" i="2" s="1"/>
  <c r="EG78" i="2"/>
  <c r="ED78" i="2"/>
  <c r="DY78" i="2"/>
  <c r="DX78" i="2"/>
  <c r="EE78" i="2"/>
  <c r="EC78" i="2"/>
  <c r="EA78" i="2"/>
  <c r="DZ78" i="2"/>
  <c r="EB78" i="2"/>
  <c r="EF78" i="2"/>
  <c r="GS6" i="2"/>
  <c r="GB40" i="2"/>
  <c r="GB38" i="2"/>
  <c r="GB39" i="2" s="1"/>
  <c r="GA38" i="2"/>
  <c r="GA39" i="2"/>
  <c r="GA40" i="2"/>
  <c r="FY40" i="2"/>
  <c r="FY38" i="2"/>
  <c r="FY39" i="2"/>
  <c r="GC9" i="2"/>
  <c r="GC7" i="2"/>
  <c r="GC8" i="2" s="1"/>
  <c r="DU15" i="2"/>
  <c r="DT15" i="2" s="1"/>
  <c r="DX15" i="2"/>
  <c r="EE15" i="2"/>
  <c r="DZ15" i="2"/>
  <c r="EA15" i="2"/>
  <c r="DY15" i="2"/>
  <c r="EB15" i="2"/>
  <c r="EG15" i="2"/>
  <c r="ED15" i="2"/>
  <c r="EC15" i="2"/>
  <c r="DW15" i="2"/>
  <c r="EH15" i="2"/>
  <c r="EP15" i="2" s="1"/>
  <c r="EF15" i="2"/>
  <c r="FL199" i="2"/>
  <c r="FL183" i="2"/>
  <c r="GT7" i="2"/>
  <c r="FL8" i="2"/>
  <c r="FL7" i="2"/>
  <c r="FL9" i="2"/>
  <c r="GT11" i="2" s="1"/>
  <c r="DU44" i="2"/>
  <c r="DT44" i="2" s="1"/>
  <c r="DX44" i="2"/>
  <c r="EE44" i="2"/>
  <c r="EC44" i="2"/>
  <c r="EB44" i="2"/>
  <c r="EA44" i="2"/>
  <c r="DZ44" i="2"/>
  <c r="DW44" i="2"/>
  <c r="EG44" i="2"/>
  <c r="EH44" i="2"/>
  <c r="EP44" i="2" s="1"/>
  <c r="ED44" i="2"/>
  <c r="DY44" i="2"/>
  <c r="EF44" i="2"/>
  <c r="DU62" i="2"/>
  <c r="DT62" i="2" s="1"/>
  <c r="DW62" i="2"/>
  <c r="EG62" i="2"/>
  <c r="DY62" i="2"/>
  <c r="EH62" i="2"/>
  <c r="EP62" i="2" s="1"/>
  <c r="EE62" i="2"/>
  <c r="EC62" i="2"/>
  <c r="DX62" i="2"/>
  <c r="EA62" i="2"/>
  <c r="ED62" i="2"/>
  <c r="EB62" i="2"/>
  <c r="DZ62" i="2"/>
  <c r="EF62" i="2"/>
  <c r="DU66" i="2"/>
  <c r="DT66" i="2" s="1"/>
  <c r="EH66" i="2"/>
  <c r="EP66" i="2" s="1"/>
  <c r="DW66" i="2"/>
  <c r="DY66" i="2"/>
  <c r="EG66" i="2"/>
  <c r="EA66" i="2"/>
  <c r="ED66" i="2"/>
  <c r="DX66" i="2"/>
  <c r="EE66" i="2"/>
  <c r="EB66" i="2"/>
  <c r="EC66" i="2"/>
  <c r="DZ66" i="2"/>
  <c r="EF66" i="2"/>
  <c r="DU13" i="2"/>
  <c r="DT13" i="2" s="1"/>
  <c r="DX13" i="2"/>
  <c r="DY13" i="2"/>
  <c r="EE13" i="2"/>
  <c r="EB13" i="2"/>
  <c r="EC13" i="2"/>
  <c r="DZ13" i="2"/>
  <c r="EA13" i="2"/>
  <c r="EH13" i="2"/>
  <c r="EP13" i="2" s="1"/>
  <c r="EG13" i="2"/>
  <c r="ED13" i="2"/>
  <c r="DW13" i="2"/>
  <c r="EF13" i="2"/>
  <c r="FJ357" i="2"/>
  <c r="FJ204" i="2"/>
  <c r="FJ202" i="2"/>
  <c r="FJ203" i="2" s="1"/>
  <c r="FH362" i="2"/>
  <c r="FH135" i="2"/>
  <c r="DU11" i="2"/>
  <c r="DT11" i="2" s="1"/>
  <c r="DX11" i="2"/>
  <c r="EE11" i="2"/>
  <c r="DZ11" i="2"/>
  <c r="EB11" i="2"/>
  <c r="EC11" i="2"/>
  <c r="DY11" i="2"/>
  <c r="EA11" i="2"/>
  <c r="EH11" i="2"/>
  <c r="EP11" i="2" s="1"/>
  <c r="DW11" i="2"/>
  <c r="ED11" i="2"/>
  <c r="EG11" i="2"/>
  <c r="EF11" i="2"/>
  <c r="DU48" i="2"/>
  <c r="DT48" i="2" s="1"/>
  <c r="EE48" i="2"/>
  <c r="EB48" i="2"/>
  <c r="DX48" i="2"/>
  <c r="EA48" i="2"/>
  <c r="DY48" i="2"/>
  <c r="EC48" i="2"/>
  <c r="DZ48" i="2"/>
  <c r="DW48" i="2"/>
  <c r="EG48" i="2"/>
  <c r="EH48" i="2"/>
  <c r="EP48" i="2" s="1"/>
  <c r="ED48" i="2"/>
  <c r="EF48" i="2"/>
  <c r="DU33" i="2"/>
  <c r="DT33" i="2" s="1"/>
  <c r="EE33" i="2"/>
  <c r="DX33" i="2"/>
  <c r="DZ33" i="2"/>
  <c r="DY33" i="2"/>
  <c r="EA33" i="2"/>
  <c r="EH33" i="2"/>
  <c r="EP33" i="2" s="1"/>
  <c r="ED33" i="2"/>
  <c r="EB33" i="2"/>
  <c r="DW33" i="2"/>
  <c r="EG33" i="2"/>
  <c r="EC33" i="2"/>
  <c r="EF33" i="2"/>
  <c r="DV51" i="2"/>
  <c r="DU8" i="2"/>
  <c r="DZ8" i="2"/>
  <c r="DZ51" i="2" s="1"/>
  <c r="BC9" i="2" s="1"/>
  <c r="EE8" i="2"/>
  <c r="EE51" i="2" s="1"/>
  <c r="BC14" i="2" s="1"/>
  <c r="DX8" i="2"/>
  <c r="DX51" i="2" s="1"/>
  <c r="BC7" i="2" s="1"/>
  <c r="EB8" i="2"/>
  <c r="EB51" i="2" s="1"/>
  <c r="BC11" i="2" s="1"/>
  <c r="EH8" i="2"/>
  <c r="DW8" i="2"/>
  <c r="DW51" i="2" s="1"/>
  <c r="BC6" i="2" s="1"/>
  <c r="BC18" i="2" s="1"/>
  <c r="DY8" i="2"/>
  <c r="DY51" i="2" s="1"/>
  <c r="BC8" i="2" s="1"/>
  <c r="EA8" i="2"/>
  <c r="EA51" i="2" s="1"/>
  <c r="BC10" i="2" s="1"/>
  <c r="EG8" i="2"/>
  <c r="EG51" i="2" s="1"/>
  <c r="BC16" i="2" s="1"/>
  <c r="ED8" i="2"/>
  <c r="ED51" i="2" s="1"/>
  <c r="BC13" i="2" s="1"/>
  <c r="EC8" i="2"/>
  <c r="EC51" i="2" s="1"/>
  <c r="BC12" i="2" s="1"/>
  <c r="EF8" i="2"/>
  <c r="EF51" i="2" s="1"/>
  <c r="BC15" i="2" s="1"/>
  <c r="GD9" i="2"/>
  <c r="GD7" i="2"/>
  <c r="GD8" i="2" s="1"/>
  <c r="DU30" i="2"/>
  <c r="DT30" i="2" s="1"/>
  <c r="EE30" i="2"/>
  <c r="EA30" i="2"/>
  <c r="DX30" i="2"/>
  <c r="DZ30" i="2"/>
  <c r="DY30" i="2"/>
  <c r="EC30" i="2"/>
  <c r="DW30" i="2"/>
  <c r="EB30" i="2"/>
  <c r="EH30" i="2"/>
  <c r="EP30" i="2" s="1"/>
  <c r="ED30" i="2"/>
  <c r="EG30" i="2"/>
  <c r="EF30" i="2"/>
  <c r="DU16" i="2"/>
  <c r="DT16" i="2" s="1"/>
  <c r="EE16" i="2"/>
  <c r="DY16" i="2"/>
  <c r="EB16" i="2"/>
  <c r="DX16" i="2"/>
  <c r="DZ16" i="2"/>
  <c r="EH16" i="2"/>
  <c r="EP16" i="2" s="1"/>
  <c r="EC16" i="2"/>
  <c r="DW16" i="2"/>
  <c r="EG16" i="2"/>
  <c r="ED16" i="2"/>
  <c r="EA16" i="2"/>
  <c r="EF16" i="2"/>
  <c r="FG32" i="2"/>
  <c r="DU45" i="2"/>
  <c r="DT45" i="2" s="1"/>
  <c r="EE45" i="2"/>
  <c r="EB45" i="2"/>
  <c r="DX45" i="2"/>
  <c r="DZ45" i="2"/>
  <c r="DY45" i="2"/>
  <c r="EA45" i="2"/>
  <c r="EC45" i="2"/>
  <c r="EH45" i="2"/>
  <c r="EP45" i="2" s="1"/>
  <c r="EG45" i="2"/>
  <c r="ED45" i="2"/>
  <c r="DW45" i="2"/>
  <c r="EF45" i="2"/>
  <c r="DU61" i="2"/>
  <c r="DT61" i="2" s="1"/>
  <c r="DY61" i="2"/>
  <c r="DW61" i="2"/>
  <c r="EG61" i="2"/>
  <c r="ED61" i="2"/>
  <c r="EH61" i="2"/>
  <c r="EP61" i="2" s="1"/>
  <c r="EB61" i="2"/>
  <c r="EC61" i="2"/>
  <c r="DX61" i="2"/>
  <c r="EE61" i="2"/>
  <c r="EA61" i="2"/>
  <c r="DZ61" i="2"/>
  <c r="EF61" i="2"/>
  <c r="DU26" i="2"/>
  <c r="DT26" i="2" s="1"/>
  <c r="DZ26" i="2"/>
  <c r="DX26" i="2"/>
  <c r="EE26" i="2"/>
  <c r="EC26" i="2"/>
  <c r="EA26" i="2"/>
  <c r="EB26" i="2"/>
  <c r="DW26" i="2"/>
  <c r="ED26" i="2"/>
  <c r="DY26" i="2"/>
  <c r="EH26" i="2"/>
  <c r="EP26" i="2" s="1"/>
  <c r="EG26" i="2"/>
  <c r="EF26" i="2"/>
  <c r="DU93" i="2"/>
  <c r="DT93" i="2" s="1"/>
  <c r="DW93" i="2"/>
  <c r="DY93" i="2"/>
  <c r="EG93" i="2"/>
  <c r="DX93" i="2"/>
  <c r="DZ93" i="2"/>
  <c r="EH93" i="2"/>
  <c r="EP93" i="2" s="1"/>
  <c r="EB93" i="2"/>
  <c r="EA93" i="2"/>
  <c r="ED93" i="2"/>
  <c r="EE93" i="2"/>
  <c r="EC93" i="2"/>
  <c r="EF93" i="2"/>
  <c r="DU63" i="2"/>
  <c r="DT63" i="2" s="1"/>
  <c r="DY63" i="2"/>
  <c r="EG63" i="2"/>
  <c r="DW63" i="2"/>
  <c r="EH63" i="2"/>
  <c r="EP63" i="2" s="1"/>
  <c r="ED63" i="2"/>
  <c r="EE63" i="2"/>
  <c r="EB63" i="2"/>
  <c r="DX63" i="2"/>
  <c r="EA63" i="2"/>
  <c r="DZ63" i="2"/>
  <c r="EC63" i="2"/>
  <c r="EF63" i="2"/>
  <c r="BE17" i="2"/>
  <c r="AZ18" i="2"/>
  <c r="DU69" i="2"/>
  <c r="DT69" i="2" s="1"/>
  <c r="DW69" i="2"/>
  <c r="DY69" i="2"/>
  <c r="EG69" i="2"/>
  <c r="ED69" i="2"/>
  <c r="EC69" i="2"/>
  <c r="EA69" i="2"/>
  <c r="DZ69" i="2"/>
  <c r="DX69" i="2"/>
  <c r="EH69" i="2"/>
  <c r="EP69" i="2" s="1"/>
  <c r="EB69" i="2"/>
  <c r="EE69" i="2"/>
  <c r="EF69" i="2"/>
  <c r="GN33" i="2"/>
  <c r="DU39" i="2"/>
  <c r="DT39" i="2" s="1"/>
  <c r="DX39" i="2"/>
  <c r="DZ39" i="2"/>
  <c r="DY39" i="2"/>
  <c r="EB39" i="2"/>
  <c r="EE39" i="2"/>
  <c r="EC39" i="2"/>
  <c r="EA39" i="2"/>
  <c r="DW39" i="2"/>
  <c r="EH39" i="2"/>
  <c r="EP39" i="2" s="1"/>
  <c r="EG39" i="2"/>
  <c r="ED39" i="2"/>
  <c r="EF39" i="2"/>
  <c r="FJ188" i="2"/>
  <c r="FJ111" i="2"/>
  <c r="DU74" i="2"/>
  <c r="DT74" i="2" s="1"/>
  <c r="DW74" i="2"/>
  <c r="EH74" i="2"/>
  <c r="EP74" i="2" s="1"/>
  <c r="DY74" i="2"/>
  <c r="ED74" i="2"/>
  <c r="DX74" i="2"/>
  <c r="EC74" i="2"/>
  <c r="EB74" i="2"/>
  <c r="EG74" i="2"/>
  <c r="EA74" i="2"/>
  <c r="DZ74" i="2"/>
  <c r="EE74" i="2"/>
  <c r="EF74" i="2"/>
  <c r="DU86" i="2"/>
  <c r="DT86" i="2" s="1"/>
  <c r="DW86" i="2"/>
  <c r="ED86" i="2"/>
  <c r="DX86" i="2"/>
  <c r="EE86" i="2"/>
  <c r="EC86" i="2"/>
  <c r="DZ86" i="2"/>
  <c r="DY86" i="2"/>
  <c r="EH86" i="2"/>
  <c r="EP86" i="2" s="1"/>
  <c r="EA86" i="2"/>
  <c r="EG86" i="2"/>
  <c r="EB86" i="2"/>
  <c r="EF86" i="2"/>
  <c r="FK123" i="2"/>
  <c r="FK112" i="2"/>
  <c r="FK122" i="2"/>
  <c r="FK127" i="2"/>
  <c r="FK120" i="2"/>
  <c r="FK118" i="2"/>
  <c r="FK116" i="2"/>
  <c r="FK114" i="2"/>
  <c r="FK113" i="2"/>
  <c r="FK125" i="2"/>
  <c r="FK121" i="2"/>
  <c r="FK119" i="2"/>
  <c r="FK117" i="2"/>
  <c r="FK115" i="2"/>
  <c r="FK124" i="2"/>
  <c r="FK15" i="2"/>
  <c r="GS17" i="2" s="1"/>
  <c r="FK10" i="2"/>
  <c r="DU59" i="2"/>
  <c r="DT59" i="2" s="1"/>
  <c r="DW59" i="2"/>
  <c r="DW102" i="2" s="1"/>
  <c r="BC22" i="2" s="1"/>
  <c r="DY59" i="2"/>
  <c r="DY102" i="2" s="1"/>
  <c r="BC24" i="2" s="1"/>
  <c r="FY68" i="2" s="1"/>
  <c r="EH59" i="2"/>
  <c r="EG59" i="2"/>
  <c r="EG102" i="2" s="1"/>
  <c r="BC32" i="2" s="1"/>
  <c r="GG68" i="2" s="1"/>
  <c r="EA59" i="2"/>
  <c r="EA102" i="2" s="1"/>
  <c r="BC26" i="2" s="1"/>
  <c r="GA68" i="2" s="1"/>
  <c r="EE59" i="2"/>
  <c r="EE102" i="2" s="1"/>
  <c r="BC30" i="2" s="1"/>
  <c r="GE68" i="2" s="1"/>
  <c r="DX59" i="2"/>
  <c r="DX102" i="2" s="1"/>
  <c r="BC23" i="2" s="1"/>
  <c r="FX68" i="2" s="1"/>
  <c r="DZ59" i="2"/>
  <c r="DZ102" i="2" s="1"/>
  <c r="BC25" i="2" s="1"/>
  <c r="FZ68" i="2" s="1"/>
  <c r="ED59" i="2"/>
  <c r="ED102" i="2" s="1"/>
  <c r="BC29" i="2" s="1"/>
  <c r="GD68" i="2" s="1"/>
  <c r="EB59" i="2"/>
  <c r="EB102" i="2" s="1"/>
  <c r="BC27" i="2" s="1"/>
  <c r="GB68" i="2" s="1"/>
  <c r="EC59" i="2"/>
  <c r="EC102" i="2" s="1"/>
  <c r="BC28" i="2" s="1"/>
  <c r="GC68" i="2" s="1"/>
  <c r="EF59" i="2"/>
  <c r="EF102" i="2" s="1"/>
  <c r="BC31" i="2" s="1"/>
  <c r="GF68" i="2" s="1"/>
  <c r="DU29" i="2"/>
  <c r="DT29" i="2" s="1"/>
  <c r="DX29" i="2"/>
  <c r="EE29" i="2"/>
  <c r="DZ29" i="2"/>
  <c r="EC29" i="2"/>
  <c r="EA29" i="2"/>
  <c r="DY29" i="2"/>
  <c r="EB29" i="2"/>
  <c r="EH29" i="2"/>
  <c r="EP29" i="2" s="1"/>
  <c r="DW29" i="2"/>
  <c r="EG29" i="2"/>
  <c r="ED29" i="2"/>
  <c r="EF29" i="2"/>
  <c r="DU10" i="2"/>
  <c r="DT10" i="2" s="1"/>
  <c r="DZ10" i="2"/>
  <c r="DX10" i="2"/>
  <c r="DY10" i="2"/>
  <c r="EE10" i="2"/>
  <c r="EC10" i="2"/>
  <c r="EB10" i="2"/>
  <c r="EA10" i="2"/>
  <c r="DW10" i="2"/>
  <c r="EG10" i="2"/>
  <c r="EH10" i="2"/>
  <c r="EP10" i="2" s="1"/>
  <c r="ED10" i="2"/>
  <c r="EF10" i="2"/>
  <c r="DU81" i="2"/>
  <c r="DT81" i="2" s="1"/>
  <c r="DW81" i="2"/>
  <c r="DY81" i="2"/>
  <c r="EH81" i="2"/>
  <c r="EP81" i="2" s="1"/>
  <c r="EG81" i="2"/>
  <c r="DZ81" i="2"/>
  <c r="ED81" i="2"/>
  <c r="DX81" i="2"/>
  <c r="EB81" i="2"/>
  <c r="EA81" i="2"/>
  <c r="EE81" i="2"/>
  <c r="EC81" i="2"/>
  <c r="EF81" i="2"/>
  <c r="AH15" i="2"/>
  <c r="FM6" i="2"/>
  <c r="AF15" i="2"/>
  <c r="DU9" i="2"/>
  <c r="DT9" i="2" s="1"/>
  <c r="EE9" i="2"/>
  <c r="DY9" i="2"/>
  <c r="DX9" i="2"/>
  <c r="DZ9" i="2"/>
  <c r="EB9" i="2"/>
  <c r="EA9" i="2"/>
  <c r="EG9" i="2"/>
  <c r="EC9" i="2"/>
  <c r="EH9" i="2"/>
  <c r="EP9" i="2" s="1"/>
  <c r="ED9" i="2"/>
  <c r="DW9" i="2"/>
  <c r="EF9" i="2"/>
  <c r="DU100" i="2"/>
  <c r="DT100" i="2" s="1"/>
  <c r="DW100" i="2"/>
  <c r="DY100" i="2"/>
  <c r="EG100" i="2"/>
  <c r="EH100" i="2"/>
  <c r="EP100" i="2" s="1"/>
  <c r="EB100" i="2"/>
  <c r="DZ100" i="2"/>
  <c r="EC100" i="2"/>
  <c r="EA100" i="2"/>
  <c r="ED100" i="2"/>
  <c r="DX100" i="2"/>
  <c r="EE100" i="2"/>
  <c r="EF100" i="2"/>
  <c r="DU85" i="2"/>
  <c r="DT85" i="2" s="1"/>
  <c r="DY85" i="2"/>
  <c r="DW85" i="2"/>
  <c r="EH85" i="2"/>
  <c r="EP85" i="2" s="1"/>
  <c r="EE85" i="2"/>
  <c r="DZ85" i="2"/>
  <c r="DX85" i="2"/>
  <c r="EB85" i="2"/>
  <c r="EC85" i="2"/>
  <c r="EG85" i="2"/>
  <c r="ED85" i="2"/>
  <c r="EA85" i="2"/>
  <c r="EF85" i="2"/>
  <c r="DU36" i="2"/>
  <c r="DT36" i="2" s="1"/>
  <c r="EE36" i="2"/>
  <c r="DX36" i="2"/>
  <c r="DY36" i="2"/>
  <c r="EC36" i="2"/>
  <c r="DZ36" i="2"/>
  <c r="EB36" i="2"/>
  <c r="EG36" i="2"/>
  <c r="DW36" i="2"/>
  <c r="EH36" i="2"/>
  <c r="EP36" i="2" s="1"/>
  <c r="ED36" i="2"/>
  <c r="EA36" i="2"/>
  <c r="EF36" i="2"/>
  <c r="DU82" i="2"/>
  <c r="DT82" i="2" s="1"/>
  <c r="EH82" i="2"/>
  <c r="EP82" i="2" s="1"/>
  <c r="EG82" i="2"/>
  <c r="DW82" i="2"/>
  <c r="ED82" i="2"/>
  <c r="EE82" i="2"/>
  <c r="DZ82" i="2"/>
  <c r="DX82" i="2"/>
  <c r="EC82" i="2"/>
  <c r="DY82" i="2"/>
  <c r="EA82" i="2"/>
  <c r="EB82" i="2"/>
  <c r="EF82" i="2"/>
  <c r="DU41" i="2"/>
  <c r="DT41" i="2" s="1"/>
  <c r="DX41" i="2"/>
  <c r="EC41" i="2"/>
  <c r="EE41" i="2"/>
  <c r="EB41" i="2"/>
  <c r="EA41" i="2"/>
  <c r="DY41" i="2"/>
  <c r="DW41" i="2"/>
  <c r="ED41" i="2"/>
  <c r="DZ41" i="2"/>
  <c r="EH41" i="2"/>
  <c r="EP41" i="2" s="1"/>
  <c r="EG41" i="2"/>
  <c r="EF41" i="2"/>
  <c r="FW37" i="2"/>
  <c r="BB34" i="2"/>
  <c r="DU35" i="2"/>
  <c r="DT35" i="2" s="1"/>
  <c r="DZ35" i="2"/>
  <c r="DY35" i="2"/>
  <c r="DX35" i="2"/>
  <c r="EE35" i="2"/>
  <c r="EA35" i="2"/>
  <c r="EB35" i="2"/>
  <c r="EG35" i="2"/>
  <c r="EC35" i="2"/>
  <c r="DW35" i="2"/>
  <c r="EH35" i="2"/>
  <c r="EP35" i="2" s="1"/>
  <c r="ED35" i="2"/>
  <c r="EF35" i="2"/>
  <c r="DU67" i="2"/>
  <c r="DT67" i="2" s="1"/>
  <c r="DW67" i="2"/>
  <c r="EH67" i="2"/>
  <c r="EP67" i="2" s="1"/>
  <c r="ED67" i="2"/>
  <c r="DX67" i="2"/>
  <c r="EB67" i="2"/>
  <c r="EE67" i="2"/>
  <c r="DY67" i="2"/>
  <c r="EC67" i="2"/>
  <c r="EA67" i="2"/>
  <c r="DZ67" i="2"/>
  <c r="EG67" i="2"/>
  <c r="EF67" i="2"/>
  <c r="DU25" i="2"/>
  <c r="DT25" i="2" s="1"/>
  <c r="DX25" i="2"/>
  <c r="DZ25" i="2"/>
  <c r="EE25" i="2"/>
  <c r="EB25" i="2"/>
  <c r="EC25" i="2"/>
  <c r="ED25" i="2"/>
  <c r="EH25" i="2"/>
  <c r="EP25" i="2" s="1"/>
  <c r="DW25" i="2"/>
  <c r="EG25" i="2"/>
  <c r="DY25" i="2"/>
  <c r="EA25" i="2"/>
  <c r="EF25" i="2"/>
  <c r="Z17" i="2"/>
  <c r="AB17" i="2"/>
  <c r="AE16" i="2"/>
  <c r="AA16" i="2"/>
  <c r="AK16" i="2" s="1"/>
  <c r="AJ16" i="2" s="1"/>
  <c r="AC16" i="2"/>
  <c r="DU22" i="2"/>
  <c r="DT22" i="2" s="1"/>
  <c r="EE22" i="2"/>
  <c r="DZ22" i="2"/>
  <c r="DX22" i="2"/>
  <c r="EC22" i="2"/>
  <c r="EA22" i="2"/>
  <c r="DW22" i="2"/>
  <c r="EG22" i="2"/>
  <c r="ED22" i="2"/>
  <c r="EH22" i="2"/>
  <c r="EP22" i="2" s="1"/>
  <c r="DY22" i="2"/>
  <c r="EB22" i="2"/>
  <c r="EF22" i="2"/>
  <c r="FH158" i="2"/>
  <c r="DU21" i="2"/>
  <c r="DT21" i="2" s="1"/>
  <c r="DX21" i="2"/>
  <c r="EE21" i="2"/>
  <c r="EC21" i="2"/>
  <c r="EA21" i="2"/>
  <c r="DY21" i="2"/>
  <c r="EB21" i="2"/>
  <c r="EH21" i="2"/>
  <c r="EP21" i="2" s="1"/>
  <c r="EG21" i="2"/>
  <c r="DZ21" i="2"/>
  <c r="ED21" i="2"/>
  <c r="DW21" i="2"/>
  <c r="EF21" i="2"/>
  <c r="DU76" i="2"/>
  <c r="DT76" i="2" s="1"/>
  <c r="DW76" i="2"/>
  <c r="DY76" i="2"/>
  <c r="EG76" i="2"/>
  <c r="ED76" i="2"/>
  <c r="EH76" i="2"/>
  <c r="EP76" i="2" s="1"/>
  <c r="DX76" i="2"/>
  <c r="EB76" i="2"/>
  <c r="DZ76" i="2"/>
  <c r="EE76" i="2"/>
  <c r="EA76" i="2"/>
  <c r="EC76" i="2"/>
  <c r="EF76" i="2"/>
  <c r="DU40" i="2"/>
  <c r="DT40" i="2" s="1"/>
  <c r="DX40" i="2"/>
  <c r="DZ40" i="2"/>
  <c r="DY40" i="2"/>
  <c r="EC40" i="2"/>
  <c r="EE40" i="2"/>
  <c r="EB40" i="2"/>
  <c r="DW40" i="2"/>
  <c r="EH40" i="2"/>
  <c r="EP40" i="2" s="1"/>
  <c r="EG40" i="2"/>
  <c r="ED40" i="2"/>
  <c r="EA40" i="2"/>
  <c r="EF40" i="2"/>
  <c r="DU80" i="2"/>
  <c r="DT80" i="2" s="1"/>
  <c r="DY80" i="2"/>
  <c r="DW80" i="2"/>
  <c r="EG80" i="2"/>
  <c r="EC80" i="2"/>
  <c r="EE80" i="2"/>
  <c r="DZ80" i="2"/>
  <c r="ED80" i="2"/>
  <c r="DX80" i="2"/>
  <c r="EB80" i="2"/>
  <c r="EH80" i="2"/>
  <c r="EP80" i="2" s="1"/>
  <c r="EA80" i="2"/>
  <c r="EF80" i="2"/>
  <c r="DU90" i="2"/>
  <c r="DT90" i="2" s="1"/>
  <c r="DY90" i="2"/>
  <c r="DW90" i="2"/>
  <c r="ED90" i="2"/>
  <c r="EH90" i="2"/>
  <c r="EP90" i="2" s="1"/>
  <c r="EB90" i="2"/>
  <c r="EA90" i="2"/>
  <c r="EC90" i="2"/>
  <c r="EG90" i="2"/>
  <c r="DX90" i="2"/>
  <c r="EE90" i="2"/>
  <c r="DZ90" i="2"/>
  <c r="EF90" i="2"/>
  <c r="BE18" i="2"/>
  <c r="HS20" i="2"/>
  <c r="HR19" i="2"/>
  <c r="BF23" i="2"/>
  <c r="DU73" i="2"/>
  <c r="DT73" i="2" s="1"/>
  <c r="DW73" i="2"/>
  <c r="DY73" i="2"/>
  <c r="ED73" i="2"/>
  <c r="EH73" i="2"/>
  <c r="EP73" i="2" s="1"/>
  <c r="DZ73" i="2"/>
  <c r="EE73" i="2"/>
  <c r="EB73" i="2"/>
  <c r="EC73" i="2"/>
  <c r="EG73" i="2"/>
  <c r="DX73" i="2"/>
  <c r="EA73" i="2"/>
  <c r="EF73" i="2"/>
  <c r="FK206" i="2"/>
  <c r="FK201" i="2"/>
  <c r="GC40" i="2"/>
  <c r="GC38" i="2"/>
  <c r="GC39" i="2"/>
  <c r="GG40" i="2"/>
  <c r="GG38" i="2"/>
  <c r="GG39" i="2" s="1"/>
  <c r="FX40" i="2"/>
  <c r="FX38" i="2"/>
  <c r="FX39" i="2" s="1"/>
  <c r="BE34" i="2"/>
  <c r="BF34" i="2" s="1"/>
  <c r="DU71" i="2"/>
  <c r="DT71" i="2" s="1"/>
  <c r="DY71" i="2"/>
  <c r="DW71" i="2"/>
  <c r="ED71" i="2"/>
  <c r="EH71" i="2"/>
  <c r="EP71" i="2" s="1"/>
  <c r="EE71" i="2"/>
  <c r="EG71" i="2"/>
  <c r="DX71" i="2"/>
  <c r="DZ71" i="2"/>
  <c r="EA71" i="2"/>
  <c r="EB71" i="2"/>
  <c r="EC71" i="2"/>
  <c r="EF71" i="2"/>
  <c r="DU18" i="2"/>
  <c r="DT18" i="2" s="1"/>
  <c r="EE18" i="2"/>
  <c r="DY18" i="2"/>
  <c r="DX18" i="2"/>
  <c r="DZ18" i="2"/>
  <c r="EC18" i="2"/>
  <c r="EA18" i="2"/>
  <c r="DW18" i="2"/>
  <c r="EH18" i="2"/>
  <c r="EP18" i="2" s="1"/>
  <c r="EG18" i="2"/>
  <c r="ED18" i="2"/>
  <c r="EB18" i="2"/>
  <c r="EF18" i="2"/>
  <c r="FY7" i="2"/>
  <c r="FY8" i="2" s="1"/>
  <c r="FY9" i="2"/>
  <c r="DU68" i="2"/>
  <c r="DT68" i="2" s="1"/>
  <c r="DY68" i="2"/>
  <c r="ED68" i="2"/>
  <c r="DW68" i="2"/>
  <c r="EE68" i="2"/>
  <c r="EC68" i="2"/>
  <c r="EA68" i="2"/>
  <c r="DZ68" i="2"/>
  <c r="EG68" i="2"/>
  <c r="DX68" i="2"/>
  <c r="EB68" i="2"/>
  <c r="EH68" i="2"/>
  <c r="EP68" i="2" s="1"/>
  <c r="EF68" i="2"/>
  <c r="DU34" i="2"/>
  <c r="DT34" i="2" s="1"/>
  <c r="DZ34" i="2"/>
  <c r="DY34" i="2"/>
  <c r="EE34" i="2"/>
  <c r="DX34" i="2"/>
  <c r="EA34" i="2"/>
  <c r="EC34" i="2"/>
  <c r="EB34" i="2"/>
  <c r="EH34" i="2"/>
  <c r="EP34" i="2" s="1"/>
  <c r="EG34" i="2"/>
  <c r="ED34" i="2"/>
  <c r="DW34" i="2"/>
  <c r="EF34" i="2"/>
  <c r="DU83" i="2"/>
  <c r="DT83" i="2" s="1"/>
  <c r="DW83" i="2"/>
  <c r="ED83" i="2"/>
  <c r="DY83" i="2"/>
  <c r="EG83" i="2"/>
  <c r="EA83" i="2"/>
  <c r="EE83" i="2"/>
  <c r="DZ83" i="2"/>
  <c r="EH83" i="2"/>
  <c r="EP83" i="2" s="1"/>
  <c r="DX83" i="2"/>
  <c r="EB83" i="2"/>
  <c r="EC83" i="2"/>
  <c r="EF83" i="2"/>
  <c r="FH275" i="2"/>
  <c r="FH106" i="2"/>
  <c r="GH9" i="2"/>
  <c r="GH7" i="2"/>
  <c r="GH8" i="2" s="1"/>
  <c r="BF25" i="2"/>
  <c r="DU98" i="2"/>
  <c r="DT98" i="2" s="1"/>
  <c r="EG98" i="2"/>
  <c r="DW98" i="2"/>
  <c r="EB98" i="2"/>
  <c r="DZ98" i="2"/>
  <c r="EH98" i="2"/>
  <c r="EP98" i="2" s="1"/>
  <c r="ED98" i="2"/>
  <c r="EC98" i="2"/>
  <c r="DY98" i="2"/>
  <c r="DX98" i="2"/>
  <c r="EA98" i="2"/>
  <c r="EE98" i="2"/>
  <c r="EF98" i="2"/>
  <c r="DU50" i="2"/>
  <c r="DT50" i="2" s="1"/>
  <c r="EE50" i="2"/>
  <c r="EB50" i="2"/>
  <c r="DX50" i="2"/>
  <c r="DZ50" i="2"/>
  <c r="DY50" i="2"/>
  <c r="EC50" i="2"/>
  <c r="DW50" i="2"/>
  <c r="EH50" i="2"/>
  <c r="EP50" i="2" s="1"/>
  <c r="EG50" i="2"/>
  <c r="ED50" i="2"/>
  <c r="EA50" i="2"/>
  <c r="EF50" i="2"/>
  <c r="DU19" i="2"/>
  <c r="DT19" i="2" s="1"/>
  <c r="DY19" i="2"/>
  <c r="DX19" i="2"/>
  <c r="DZ19" i="2"/>
  <c r="EE19" i="2"/>
  <c r="EC19" i="2"/>
  <c r="EA19" i="2"/>
  <c r="DW19" i="2"/>
  <c r="EB19" i="2"/>
  <c r="EH19" i="2"/>
  <c r="EP19" i="2" s="1"/>
  <c r="EG19" i="2"/>
  <c r="ED19" i="2"/>
  <c r="EF19" i="2"/>
  <c r="DU84" i="2"/>
  <c r="DT84" i="2" s="1"/>
  <c r="DW84" i="2"/>
  <c r="EG84" i="2"/>
  <c r="DY84" i="2"/>
  <c r="ED84" i="2"/>
  <c r="EH84" i="2"/>
  <c r="EP84" i="2" s="1"/>
  <c r="EE84" i="2"/>
  <c r="DZ84" i="2"/>
  <c r="EA84" i="2"/>
  <c r="EC84" i="2"/>
  <c r="DX84" i="2"/>
  <c r="EB84" i="2"/>
  <c r="EF84" i="2"/>
  <c r="FF363" i="2"/>
  <c r="FF364" i="2" s="1"/>
  <c r="FR207" i="2"/>
  <c r="FF331" i="2"/>
  <c r="GA8" i="2"/>
  <c r="GA9" i="2"/>
  <c r="GA7" i="2"/>
  <c r="DU27" i="2"/>
  <c r="DT27" i="2" s="1"/>
  <c r="DX27" i="2"/>
  <c r="EC27" i="2"/>
  <c r="EA27" i="2"/>
  <c r="EE27" i="2"/>
  <c r="DZ27" i="2"/>
  <c r="DY27" i="2"/>
  <c r="EB27" i="2"/>
  <c r="EH27" i="2"/>
  <c r="EP27" i="2" s="1"/>
  <c r="ED27" i="2"/>
  <c r="EG27" i="2"/>
  <c r="DW27" i="2"/>
  <c r="EF27" i="2"/>
  <c r="FG207" i="2"/>
  <c r="DU32" i="2"/>
  <c r="DT32" i="2" s="1"/>
  <c r="DX32" i="2"/>
  <c r="EE32" i="2"/>
  <c r="DY32" i="2"/>
  <c r="EB32" i="2"/>
  <c r="EC32" i="2"/>
  <c r="DW32" i="2"/>
  <c r="EA32" i="2"/>
  <c r="EG32" i="2"/>
  <c r="EH32" i="2"/>
  <c r="EP32" i="2" s="1"/>
  <c r="DZ32" i="2"/>
  <c r="ED32" i="2"/>
  <c r="EF32" i="2"/>
  <c r="GH50" i="2"/>
  <c r="GI19" i="2"/>
  <c r="GJ19" i="2" s="1"/>
  <c r="HN20" i="2"/>
  <c r="DU20" i="2"/>
  <c r="DT20" i="2" s="1"/>
  <c r="EE20" i="2"/>
  <c r="DY20" i="2"/>
  <c r="DX20" i="2"/>
  <c r="EA20" i="2"/>
  <c r="DZ20" i="2"/>
  <c r="EB20" i="2"/>
  <c r="EC20" i="2"/>
  <c r="DW20" i="2"/>
  <c r="EG20" i="2"/>
  <c r="EH20" i="2"/>
  <c r="EP20" i="2" s="1"/>
  <c r="ED20" i="2"/>
  <c r="EF20" i="2"/>
  <c r="GH15" i="2" l="1"/>
  <c r="GH10" i="2"/>
  <c r="FX41" i="2"/>
  <c r="FX46" i="2"/>
  <c r="GG41" i="2"/>
  <c r="GG46" i="2"/>
  <c r="GD15" i="2"/>
  <c r="GD10" i="2"/>
  <c r="FZ15" i="2"/>
  <c r="FZ10" i="2"/>
  <c r="GE46" i="2"/>
  <c r="GE41" i="2"/>
  <c r="FY15" i="2"/>
  <c r="FY10" i="2"/>
  <c r="FJ333" i="2"/>
  <c r="FJ302" i="2"/>
  <c r="FJ281" i="2"/>
  <c r="FJ310" i="2"/>
  <c r="FJ205" i="2"/>
  <c r="GC10" i="2"/>
  <c r="GC15" i="2"/>
  <c r="GB41" i="2"/>
  <c r="GB46" i="2"/>
  <c r="GF41" i="2"/>
  <c r="GF46" i="2"/>
  <c r="EO20" i="2"/>
  <c r="EN20" i="2" s="1"/>
  <c r="ER20" i="2"/>
  <c r="FB20" i="2"/>
  <c r="ES20" i="2"/>
  <c r="FA20" i="2"/>
  <c r="EQ20" i="2"/>
  <c r="EW20" i="2"/>
  <c r="EY20" i="2"/>
  <c r="EV20" i="2"/>
  <c r="EX20" i="2"/>
  <c r="EU20" i="2"/>
  <c r="ET20" i="2"/>
  <c r="EZ20" i="2"/>
  <c r="GH38" i="2"/>
  <c r="GH39" i="2"/>
  <c r="GH40" i="2"/>
  <c r="EO96" i="2"/>
  <c r="EN96" i="2" s="1"/>
  <c r="EW96" i="2"/>
  <c r="EU96" i="2"/>
  <c r="ES96" i="2"/>
  <c r="ET96" i="2"/>
  <c r="EX96" i="2"/>
  <c r="FB96" i="2"/>
  <c r="ER96" i="2"/>
  <c r="FA96" i="2"/>
  <c r="EY96" i="2"/>
  <c r="EQ96" i="2"/>
  <c r="EV96" i="2"/>
  <c r="EZ96" i="2"/>
  <c r="EO60" i="2"/>
  <c r="EN60" i="2" s="1"/>
  <c r="ET60" i="2"/>
  <c r="EU60" i="2"/>
  <c r="ES60" i="2"/>
  <c r="FB60" i="2"/>
  <c r="ER60" i="2"/>
  <c r="EW60" i="2"/>
  <c r="EV60" i="2"/>
  <c r="EQ60" i="2"/>
  <c r="EY60" i="2"/>
  <c r="FA60" i="2"/>
  <c r="EX60" i="2"/>
  <c r="EZ60" i="2"/>
  <c r="FW15" i="2"/>
  <c r="GI15" i="2" s="1"/>
  <c r="GJ15" i="2" s="1"/>
  <c r="FW10" i="2"/>
  <c r="GI8" i="2"/>
  <c r="GE15" i="2"/>
  <c r="GE10" i="2"/>
  <c r="FX15" i="2"/>
  <c r="FX10" i="2"/>
  <c r="EO19" i="2"/>
  <c r="EN19" i="2" s="1"/>
  <c r="FA19" i="2"/>
  <c r="EY19" i="2"/>
  <c r="EQ19" i="2"/>
  <c r="EV19" i="2"/>
  <c r="ES19" i="2"/>
  <c r="ER19" i="2"/>
  <c r="EW19" i="2"/>
  <c r="FB19" i="2"/>
  <c r="EU19" i="2"/>
  <c r="EX19" i="2"/>
  <c r="ET19" i="2"/>
  <c r="EZ19" i="2"/>
  <c r="BF18" i="2"/>
  <c r="BF15" i="2"/>
  <c r="BF10" i="2"/>
  <c r="BF16" i="2"/>
  <c r="BF9" i="2"/>
  <c r="BF14" i="2"/>
  <c r="BF11" i="2"/>
  <c r="BF7" i="2"/>
  <c r="BF13" i="2"/>
  <c r="BF12" i="2"/>
  <c r="BF8" i="2"/>
  <c r="EO76" i="2"/>
  <c r="EN76" i="2" s="1"/>
  <c r="ER76" i="2"/>
  <c r="ES76" i="2"/>
  <c r="ET76" i="2"/>
  <c r="FB76" i="2"/>
  <c r="EW76" i="2"/>
  <c r="EU76" i="2"/>
  <c r="EX76" i="2"/>
  <c r="FA76" i="2"/>
  <c r="EQ76" i="2"/>
  <c r="EY76" i="2"/>
  <c r="EV76" i="2"/>
  <c r="EZ76" i="2"/>
  <c r="AF16" i="2"/>
  <c r="AH16" i="2"/>
  <c r="FN6" i="2"/>
  <c r="GF71" i="2"/>
  <c r="GF69" i="2"/>
  <c r="GF70" i="2" s="1"/>
  <c r="DU51" i="2"/>
  <c r="DT8" i="2"/>
  <c r="DT51" i="2" s="1"/>
  <c r="EO46" i="2"/>
  <c r="EN46" i="2" s="1"/>
  <c r="EV46" i="2"/>
  <c r="FB46" i="2"/>
  <c r="EQ46" i="2"/>
  <c r="EY46" i="2"/>
  <c r="ES46" i="2"/>
  <c r="ER46" i="2"/>
  <c r="FA46" i="2"/>
  <c r="EU46" i="2"/>
  <c r="ET46" i="2"/>
  <c r="EX46" i="2"/>
  <c r="EW46" i="2"/>
  <c r="EZ46" i="2"/>
  <c r="EO87" i="2"/>
  <c r="EN87" i="2" s="1"/>
  <c r="FB87" i="2"/>
  <c r="ER87" i="2"/>
  <c r="ES87" i="2"/>
  <c r="ET87" i="2"/>
  <c r="EW87" i="2"/>
  <c r="EX87" i="2"/>
  <c r="FA87" i="2"/>
  <c r="EU87" i="2"/>
  <c r="EQ87" i="2"/>
  <c r="EV87" i="2"/>
  <c r="EY87" i="2"/>
  <c r="EZ87" i="2"/>
  <c r="EO64" i="2"/>
  <c r="EN64" i="2" s="1"/>
  <c r="ES64" i="2"/>
  <c r="FB64" i="2"/>
  <c r="EW64" i="2"/>
  <c r="EU64" i="2"/>
  <c r="ET64" i="2"/>
  <c r="EQ64" i="2"/>
  <c r="FA64" i="2"/>
  <c r="EX64" i="2"/>
  <c r="EY64" i="2"/>
  <c r="EV64" i="2"/>
  <c r="ER64" i="2"/>
  <c r="EZ64" i="2"/>
  <c r="EO70" i="2"/>
  <c r="EN70" i="2" s="1"/>
  <c r="ES70" i="2"/>
  <c r="ER70" i="2"/>
  <c r="ET70" i="2"/>
  <c r="EW70" i="2"/>
  <c r="EY70" i="2"/>
  <c r="EX70" i="2"/>
  <c r="EV70" i="2"/>
  <c r="FB70" i="2"/>
  <c r="EU70" i="2"/>
  <c r="FA70" i="2"/>
  <c r="EQ70" i="2"/>
  <c r="EZ70" i="2"/>
  <c r="EO92" i="2"/>
  <c r="EN92" i="2" s="1"/>
  <c r="ES92" i="2"/>
  <c r="ET92" i="2"/>
  <c r="FB92" i="2"/>
  <c r="EW92" i="2"/>
  <c r="EU92" i="2"/>
  <c r="EQ92" i="2"/>
  <c r="EY92" i="2"/>
  <c r="ER92" i="2"/>
  <c r="EX92" i="2"/>
  <c r="EV92" i="2"/>
  <c r="FA92" i="2"/>
  <c r="EZ92" i="2"/>
  <c r="BF27" i="2"/>
  <c r="EO27" i="2"/>
  <c r="EN27" i="2" s="1"/>
  <c r="EY27" i="2"/>
  <c r="ER27" i="2"/>
  <c r="EQ27" i="2"/>
  <c r="ES27" i="2"/>
  <c r="EV27" i="2"/>
  <c r="EW27" i="2"/>
  <c r="EU27" i="2"/>
  <c r="ET27" i="2"/>
  <c r="EX27" i="2"/>
  <c r="FA27" i="2"/>
  <c r="FB27" i="2"/>
  <c r="EZ27" i="2"/>
  <c r="FF335" i="2"/>
  <c r="FR331" i="2"/>
  <c r="FH207" i="2"/>
  <c r="EO68" i="2"/>
  <c r="EN68" i="2" s="1"/>
  <c r="ET68" i="2"/>
  <c r="ES68" i="2"/>
  <c r="FB68" i="2"/>
  <c r="EW68" i="2"/>
  <c r="EU68" i="2"/>
  <c r="ER68" i="2"/>
  <c r="FA68" i="2"/>
  <c r="EX68" i="2"/>
  <c r="EQ68" i="2"/>
  <c r="EV68" i="2"/>
  <c r="EY68" i="2"/>
  <c r="EZ68" i="2"/>
  <c r="EO71" i="2"/>
  <c r="EN71" i="2" s="1"/>
  <c r="ES71" i="2"/>
  <c r="ET71" i="2"/>
  <c r="FB71" i="2"/>
  <c r="EW71" i="2"/>
  <c r="EQ71" i="2"/>
  <c r="EX71" i="2"/>
  <c r="ER71" i="2"/>
  <c r="EU71" i="2"/>
  <c r="EY71" i="2"/>
  <c r="FA71" i="2"/>
  <c r="EV71" i="2"/>
  <c r="EZ71" i="2"/>
  <c r="FK357" i="2"/>
  <c r="FK202" i="2"/>
  <c r="FK203" i="2" s="1"/>
  <c r="FK204" i="2"/>
  <c r="HS19" i="2"/>
  <c r="EO90" i="2"/>
  <c r="EN90" i="2" s="1"/>
  <c r="FB90" i="2"/>
  <c r="ES90" i="2"/>
  <c r="ET90" i="2"/>
  <c r="ER90" i="2"/>
  <c r="EW90" i="2"/>
  <c r="EX90" i="2"/>
  <c r="EU90" i="2"/>
  <c r="FA90" i="2"/>
  <c r="EY90" i="2"/>
  <c r="EQ90" i="2"/>
  <c r="EV90" i="2"/>
  <c r="EZ90" i="2"/>
  <c r="EO80" i="2"/>
  <c r="EN80" i="2" s="1"/>
  <c r="ET80" i="2"/>
  <c r="EW80" i="2"/>
  <c r="FB80" i="2"/>
  <c r="ES80" i="2"/>
  <c r="EQ80" i="2"/>
  <c r="EY80" i="2"/>
  <c r="EV80" i="2"/>
  <c r="FA80" i="2"/>
  <c r="ER80" i="2"/>
  <c r="EX80" i="2"/>
  <c r="EU80" i="2"/>
  <c r="EZ80" i="2"/>
  <c r="AB18" i="2"/>
  <c r="AE17" i="2"/>
  <c r="AA17" i="2"/>
  <c r="AK17" i="2" s="1"/>
  <c r="AJ17" i="2" s="1"/>
  <c r="AC17" i="2"/>
  <c r="EO35" i="2"/>
  <c r="EN35" i="2" s="1"/>
  <c r="ES35" i="2"/>
  <c r="ER35" i="2"/>
  <c r="FA35" i="2"/>
  <c r="EW35" i="2"/>
  <c r="EX35" i="2"/>
  <c r="EQ35" i="2"/>
  <c r="ET35" i="2"/>
  <c r="EY35" i="2"/>
  <c r="EV35" i="2"/>
  <c r="FB35" i="2"/>
  <c r="EU35" i="2"/>
  <c r="EZ35" i="2"/>
  <c r="FW38" i="2"/>
  <c r="GI38" i="2" s="1"/>
  <c r="FW39" i="2"/>
  <c r="GI37" i="2"/>
  <c r="GJ37" i="2" s="1"/>
  <c r="FW40" i="2"/>
  <c r="GI40" i="2" s="1"/>
  <c r="GJ40" i="2" s="1"/>
  <c r="EO36" i="2"/>
  <c r="EN36" i="2" s="1"/>
  <c r="EQ36" i="2"/>
  <c r="FB36" i="2"/>
  <c r="EY36" i="2"/>
  <c r="ER36" i="2"/>
  <c r="EV36" i="2"/>
  <c r="ET36" i="2"/>
  <c r="ES36" i="2"/>
  <c r="FA36" i="2"/>
  <c r="EW36" i="2"/>
  <c r="EX36" i="2"/>
  <c r="EU36" i="2"/>
  <c r="EZ36" i="2"/>
  <c r="GC70" i="2"/>
  <c r="GC69" i="2"/>
  <c r="GC71" i="2"/>
  <c r="FX71" i="2"/>
  <c r="FX70" i="2"/>
  <c r="FX69" i="2"/>
  <c r="EP59" i="2"/>
  <c r="EH102" i="2"/>
  <c r="BC33" i="2" s="1"/>
  <c r="GH68" i="2" s="1"/>
  <c r="FK188" i="2"/>
  <c r="GR16" i="2"/>
  <c r="BF17" i="2"/>
  <c r="EO93" i="2"/>
  <c r="EN93" i="2" s="1"/>
  <c r="FB93" i="2"/>
  <c r="ES93" i="2"/>
  <c r="ET93" i="2"/>
  <c r="EW93" i="2"/>
  <c r="EU93" i="2"/>
  <c r="EX93" i="2"/>
  <c r="EY93" i="2"/>
  <c r="EQ93" i="2"/>
  <c r="EV93" i="2"/>
  <c r="FA93" i="2"/>
  <c r="ER93" i="2"/>
  <c r="EZ93" i="2"/>
  <c r="BF26" i="2"/>
  <c r="EO48" i="2"/>
  <c r="EN48" i="2" s="1"/>
  <c r="ES48" i="2"/>
  <c r="ER48" i="2"/>
  <c r="EQ48" i="2"/>
  <c r="FB48" i="2"/>
  <c r="EY48" i="2"/>
  <c r="EV48" i="2"/>
  <c r="EW48" i="2"/>
  <c r="EX48" i="2"/>
  <c r="EU48" i="2"/>
  <c r="FA48" i="2"/>
  <c r="ET48" i="2"/>
  <c r="EZ48" i="2"/>
  <c r="BF24" i="2"/>
  <c r="FL206" i="2"/>
  <c r="FL201" i="2"/>
  <c r="EO78" i="2"/>
  <c r="EN78" i="2" s="1"/>
  <c r="ET78" i="2"/>
  <c r="FB78" i="2"/>
  <c r="ER78" i="2"/>
  <c r="EU78" i="2"/>
  <c r="ES78" i="2"/>
  <c r="EW78" i="2"/>
  <c r="EX78" i="2"/>
  <c r="FA78" i="2"/>
  <c r="EV78" i="2"/>
  <c r="EQ78" i="2"/>
  <c r="EY78" i="2"/>
  <c r="EZ78" i="2"/>
  <c r="EO65" i="2"/>
  <c r="EN65" i="2" s="1"/>
  <c r="FB65" i="2"/>
  <c r="ER65" i="2"/>
  <c r="ES65" i="2"/>
  <c r="ET65" i="2"/>
  <c r="FA65" i="2"/>
  <c r="EW65" i="2"/>
  <c r="EU65" i="2"/>
  <c r="EQ65" i="2"/>
  <c r="EV65" i="2"/>
  <c r="EX65" i="2"/>
  <c r="EY65" i="2"/>
  <c r="EZ65" i="2"/>
  <c r="EO97" i="2"/>
  <c r="EN97" i="2" s="1"/>
  <c r="FB97" i="2"/>
  <c r="ES97" i="2"/>
  <c r="ER97" i="2"/>
  <c r="EX97" i="2"/>
  <c r="EW97" i="2"/>
  <c r="EU97" i="2"/>
  <c r="ET97" i="2"/>
  <c r="EQ97" i="2"/>
  <c r="EV97" i="2"/>
  <c r="FA97" i="2"/>
  <c r="EY97" i="2"/>
  <c r="EZ97" i="2"/>
  <c r="GJ6" i="2"/>
  <c r="GJ85" i="2"/>
  <c r="GJ54" i="2"/>
  <c r="GJ116" i="2"/>
  <c r="GJ23" i="2"/>
  <c r="EO37" i="2"/>
  <c r="EN37" i="2" s="1"/>
  <c r="EV37" i="2"/>
  <c r="FB37" i="2"/>
  <c r="EQ37" i="2"/>
  <c r="EY37" i="2"/>
  <c r="EU37" i="2"/>
  <c r="ET37" i="2"/>
  <c r="ES37" i="2"/>
  <c r="ER37" i="2"/>
  <c r="FA37" i="2"/>
  <c r="EW37" i="2"/>
  <c r="EX37" i="2"/>
  <c r="EZ37" i="2"/>
  <c r="EO72" i="2"/>
  <c r="EN72" i="2" s="1"/>
  <c r="ES72" i="2"/>
  <c r="FB72" i="2"/>
  <c r="ER72" i="2"/>
  <c r="ET72" i="2"/>
  <c r="EW72" i="2"/>
  <c r="EU72" i="2"/>
  <c r="EQ72" i="2"/>
  <c r="EY72" i="2"/>
  <c r="EV72" i="2"/>
  <c r="EX72" i="2"/>
  <c r="FA72" i="2"/>
  <c r="EZ72" i="2"/>
  <c r="EO43" i="2"/>
  <c r="EN43" i="2" s="1"/>
  <c r="EQ43" i="2"/>
  <c r="EY43" i="2"/>
  <c r="ES43" i="2"/>
  <c r="ER43" i="2"/>
  <c r="EV43" i="2"/>
  <c r="FB43" i="2"/>
  <c r="EW43" i="2"/>
  <c r="EX43" i="2"/>
  <c r="EU43" i="2"/>
  <c r="FA43" i="2"/>
  <c r="ET43" i="2"/>
  <c r="EZ43" i="2"/>
  <c r="EO49" i="2"/>
  <c r="EN49" i="2" s="1"/>
  <c r="ES49" i="2"/>
  <c r="ER49" i="2"/>
  <c r="FA49" i="2"/>
  <c r="EQ49" i="2"/>
  <c r="EW49" i="2"/>
  <c r="EY49" i="2"/>
  <c r="EX49" i="2"/>
  <c r="ET49" i="2"/>
  <c r="EV49" i="2"/>
  <c r="FB49" i="2"/>
  <c r="EU49" i="2"/>
  <c r="EZ49" i="2"/>
  <c r="BF33" i="2"/>
  <c r="EO77" i="2"/>
  <c r="EN77" i="2" s="1"/>
  <c r="ES77" i="2"/>
  <c r="ET77" i="2"/>
  <c r="FB77" i="2"/>
  <c r="EU77" i="2"/>
  <c r="ER77" i="2"/>
  <c r="EW77" i="2"/>
  <c r="EX77" i="2"/>
  <c r="EY77" i="2"/>
  <c r="EV77" i="2"/>
  <c r="EQ77" i="2"/>
  <c r="FA77" i="2"/>
  <c r="EZ77" i="2"/>
  <c r="EO12" i="2"/>
  <c r="EN12" i="2" s="1"/>
  <c r="ES12" i="2"/>
  <c r="EQ12" i="2"/>
  <c r="FA12" i="2"/>
  <c r="ER12" i="2"/>
  <c r="EV12" i="2"/>
  <c r="EY12" i="2"/>
  <c r="ET12" i="2"/>
  <c r="EW12" i="2"/>
  <c r="FB12" i="2"/>
  <c r="EU12" i="2"/>
  <c r="EX12" i="2"/>
  <c r="EZ12" i="2"/>
  <c r="EO31" i="2"/>
  <c r="EN31" i="2" s="1"/>
  <c r="ES31" i="2"/>
  <c r="ER31" i="2"/>
  <c r="EQ31" i="2"/>
  <c r="EW31" i="2"/>
  <c r="FB31" i="2"/>
  <c r="FA31" i="2"/>
  <c r="ET31" i="2"/>
  <c r="EY31" i="2"/>
  <c r="EX31" i="2"/>
  <c r="EU31" i="2"/>
  <c r="EV31" i="2"/>
  <c r="EZ31" i="2"/>
  <c r="GQ34" i="2"/>
  <c r="GQ33" i="2" s="1"/>
  <c r="FI126" i="2"/>
  <c r="GA15" i="2"/>
  <c r="GA10" i="2"/>
  <c r="EO18" i="2"/>
  <c r="EN18" i="2" s="1"/>
  <c r="EW18" i="2"/>
  <c r="EY18" i="2"/>
  <c r="ER18" i="2"/>
  <c r="ES18" i="2"/>
  <c r="EQ18" i="2"/>
  <c r="EV18" i="2"/>
  <c r="ET18" i="2"/>
  <c r="FA18" i="2"/>
  <c r="EU18" i="2"/>
  <c r="FB18" i="2"/>
  <c r="EX18" i="2"/>
  <c r="EZ18" i="2"/>
  <c r="EO22" i="2"/>
  <c r="EN22" i="2" s="1"/>
  <c r="ER22" i="2"/>
  <c r="EV22" i="2"/>
  <c r="FB22" i="2"/>
  <c r="ES22" i="2"/>
  <c r="EQ22" i="2"/>
  <c r="EW22" i="2"/>
  <c r="EU22" i="2"/>
  <c r="ET22" i="2"/>
  <c r="FA22" i="2"/>
  <c r="EX22" i="2"/>
  <c r="EY22" i="2"/>
  <c r="EZ22" i="2"/>
  <c r="EO67" i="2"/>
  <c r="EN67" i="2" s="1"/>
  <c r="ET67" i="2"/>
  <c r="ES67" i="2"/>
  <c r="ER67" i="2"/>
  <c r="EW67" i="2"/>
  <c r="EU67" i="2"/>
  <c r="FB67" i="2"/>
  <c r="EX67" i="2"/>
  <c r="EQ67" i="2"/>
  <c r="EV67" i="2"/>
  <c r="FA67" i="2"/>
  <c r="EY67" i="2"/>
  <c r="EZ67" i="2"/>
  <c r="EO9" i="2"/>
  <c r="EN9" i="2" s="1"/>
  <c r="EV9" i="2"/>
  <c r="ES9" i="2"/>
  <c r="ER9" i="2"/>
  <c r="EQ9" i="2"/>
  <c r="FB9" i="2"/>
  <c r="EY9" i="2"/>
  <c r="EX9" i="2"/>
  <c r="EW9" i="2"/>
  <c r="FA9" i="2"/>
  <c r="ET9" i="2"/>
  <c r="EU9" i="2"/>
  <c r="EZ9" i="2"/>
  <c r="EO10" i="2"/>
  <c r="EN10" i="2" s="1"/>
  <c r="EQ10" i="2"/>
  <c r="FA10" i="2"/>
  <c r="EY10" i="2"/>
  <c r="ES10" i="2"/>
  <c r="ER10" i="2"/>
  <c r="EV10" i="2"/>
  <c r="EW10" i="2"/>
  <c r="EX10" i="2"/>
  <c r="EU10" i="2"/>
  <c r="FB10" i="2"/>
  <c r="ET10" i="2"/>
  <c r="EZ10" i="2"/>
  <c r="FZ69" i="2"/>
  <c r="FZ70" i="2" s="1"/>
  <c r="FZ71" i="2"/>
  <c r="EO61" i="2"/>
  <c r="EN61" i="2" s="1"/>
  <c r="ES61" i="2"/>
  <c r="EW61" i="2"/>
  <c r="FB61" i="2"/>
  <c r="ER61" i="2"/>
  <c r="ET61" i="2"/>
  <c r="EY61" i="2"/>
  <c r="FA61" i="2"/>
  <c r="EV61" i="2"/>
  <c r="EU61" i="2"/>
  <c r="EX61" i="2"/>
  <c r="EQ61" i="2"/>
  <c r="EZ61" i="2"/>
  <c r="EO33" i="2"/>
  <c r="EN33" i="2" s="1"/>
  <c r="EV33" i="2"/>
  <c r="EQ33" i="2"/>
  <c r="ES33" i="2"/>
  <c r="ER33" i="2"/>
  <c r="FA33" i="2"/>
  <c r="EX33" i="2"/>
  <c r="EU33" i="2"/>
  <c r="EW33" i="2"/>
  <c r="ET33" i="2"/>
  <c r="EY33" i="2"/>
  <c r="FB33" i="2"/>
  <c r="EZ33" i="2"/>
  <c r="EO11" i="2"/>
  <c r="EN11" i="2" s="1"/>
  <c r="ES11" i="2"/>
  <c r="ER11" i="2"/>
  <c r="FB11" i="2"/>
  <c r="FA11" i="2"/>
  <c r="EQ11" i="2"/>
  <c r="EV11" i="2"/>
  <c r="EW11" i="2"/>
  <c r="EU11" i="2"/>
  <c r="EY11" i="2"/>
  <c r="EX11" i="2"/>
  <c r="ET11" i="2"/>
  <c r="EZ11" i="2"/>
  <c r="EO75" i="2"/>
  <c r="EN75" i="2" s="1"/>
  <c r="EW75" i="2"/>
  <c r="ES75" i="2"/>
  <c r="ER75" i="2"/>
  <c r="FB75" i="2"/>
  <c r="EU75" i="2"/>
  <c r="EX75" i="2"/>
  <c r="FA75" i="2"/>
  <c r="EQ75" i="2"/>
  <c r="EV75" i="2"/>
  <c r="ET75" i="2"/>
  <c r="EY75" i="2"/>
  <c r="EZ75" i="2"/>
  <c r="EO32" i="2"/>
  <c r="EN32" i="2" s="1"/>
  <c r="ES32" i="2"/>
  <c r="EV32" i="2"/>
  <c r="EY32" i="2"/>
  <c r="ET32" i="2"/>
  <c r="ER32" i="2"/>
  <c r="EQ32" i="2"/>
  <c r="EW32" i="2"/>
  <c r="FB32" i="2"/>
  <c r="FA32" i="2"/>
  <c r="EX32" i="2"/>
  <c r="EU32" i="2"/>
  <c r="EZ32" i="2"/>
  <c r="FR363" i="2"/>
  <c r="EO98" i="2"/>
  <c r="EN98" i="2" s="1"/>
  <c r="ES98" i="2"/>
  <c r="ET98" i="2"/>
  <c r="FB98" i="2"/>
  <c r="ER98" i="2"/>
  <c r="EW98" i="2"/>
  <c r="EX98" i="2"/>
  <c r="EU98" i="2"/>
  <c r="EV98" i="2"/>
  <c r="FA98" i="2"/>
  <c r="EQ98" i="2"/>
  <c r="EY98" i="2"/>
  <c r="EZ98" i="2"/>
  <c r="EO25" i="2"/>
  <c r="EN25" i="2" s="1"/>
  <c r="ER25" i="2"/>
  <c r="ES25" i="2"/>
  <c r="FA25" i="2"/>
  <c r="EY25" i="2"/>
  <c r="EX25" i="2"/>
  <c r="ET25" i="2"/>
  <c r="EQ25" i="2"/>
  <c r="EV25" i="2"/>
  <c r="EW25" i="2"/>
  <c r="FB25" i="2"/>
  <c r="EU25" i="2"/>
  <c r="EZ25" i="2"/>
  <c r="EO41" i="2"/>
  <c r="EN41" i="2" s="1"/>
  <c r="EQ41" i="2"/>
  <c r="FB41" i="2"/>
  <c r="FA41" i="2"/>
  <c r="EY41" i="2"/>
  <c r="ER41" i="2"/>
  <c r="ET41" i="2"/>
  <c r="ES41" i="2"/>
  <c r="EV41" i="2"/>
  <c r="EW41" i="2"/>
  <c r="EX41" i="2"/>
  <c r="EU41" i="2"/>
  <c r="EZ41" i="2"/>
  <c r="EO81" i="2"/>
  <c r="EN81" i="2" s="1"/>
  <c r="FB81" i="2"/>
  <c r="ES81" i="2"/>
  <c r="EU81" i="2"/>
  <c r="ET81" i="2"/>
  <c r="ER81" i="2"/>
  <c r="EQ81" i="2"/>
  <c r="EX81" i="2"/>
  <c r="EY81" i="2"/>
  <c r="FA81" i="2"/>
  <c r="EW81" i="2"/>
  <c r="EV81" i="2"/>
  <c r="EZ81" i="2"/>
  <c r="GB71" i="2"/>
  <c r="GB69" i="2"/>
  <c r="GB70" i="2" s="1"/>
  <c r="GE71" i="2"/>
  <c r="GE70" i="2"/>
  <c r="GE69" i="2"/>
  <c r="FY69" i="2"/>
  <c r="FY70" i="2" s="1"/>
  <c r="FY71" i="2"/>
  <c r="EO74" i="2"/>
  <c r="EN74" i="2" s="1"/>
  <c r="ET74" i="2"/>
  <c r="FB74" i="2"/>
  <c r="EW74" i="2"/>
  <c r="ES74" i="2"/>
  <c r="EU74" i="2"/>
  <c r="FA74" i="2"/>
  <c r="EY74" i="2"/>
  <c r="EX74" i="2"/>
  <c r="ER74" i="2"/>
  <c r="EQ74" i="2"/>
  <c r="EV74" i="2"/>
  <c r="EZ74" i="2"/>
  <c r="EO69" i="2"/>
  <c r="EN69" i="2" s="1"/>
  <c r="ES69" i="2"/>
  <c r="FB69" i="2"/>
  <c r="ET69" i="2"/>
  <c r="ER69" i="2"/>
  <c r="EX69" i="2"/>
  <c r="EQ69" i="2"/>
  <c r="EV69" i="2"/>
  <c r="FA69" i="2"/>
  <c r="EY69" i="2"/>
  <c r="EW69" i="2"/>
  <c r="EU69" i="2"/>
  <c r="EZ69" i="2"/>
  <c r="EO63" i="2"/>
  <c r="EN63" i="2" s="1"/>
  <c r="ES63" i="2"/>
  <c r="ET63" i="2"/>
  <c r="EW63" i="2"/>
  <c r="EU63" i="2"/>
  <c r="ER63" i="2"/>
  <c r="EV63" i="2"/>
  <c r="EY63" i="2"/>
  <c r="EQ63" i="2"/>
  <c r="FA63" i="2"/>
  <c r="EX63" i="2"/>
  <c r="FB63" i="2"/>
  <c r="EZ63" i="2"/>
  <c r="EO26" i="2"/>
  <c r="EN26" i="2" s="1"/>
  <c r="EY26" i="2"/>
  <c r="ES26" i="2"/>
  <c r="EQ26" i="2"/>
  <c r="EW26" i="2"/>
  <c r="FB26" i="2"/>
  <c r="ER26" i="2"/>
  <c r="EV26" i="2"/>
  <c r="FA26" i="2"/>
  <c r="ET26" i="2"/>
  <c r="EX26" i="2"/>
  <c r="EU26" i="2"/>
  <c r="EZ26" i="2"/>
  <c r="EO45" i="2"/>
  <c r="EN45" i="2" s="1"/>
  <c r="ES45" i="2"/>
  <c r="ER45" i="2"/>
  <c r="FA45" i="2"/>
  <c r="EW45" i="2"/>
  <c r="EX45" i="2"/>
  <c r="EQ45" i="2"/>
  <c r="EY45" i="2"/>
  <c r="FB45" i="2"/>
  <c r="EU45" i="2"/>
  <c r="ET45" i="2"/>
  <c r="EV45" i="2"/>
  <c r="EZ45" i="2"/>
  <c r="GP34" i="2"/>
  <c r="FH126" i="2"/>
  <c r="EO62" i="2"/>
  <c r="EN62" i="2" s="1"/>
  <c r="ER62" i="2"/>
  <c r="EW62" i="2"/>
  <c r="ES62" i="2"/>
  <c r="FB62" i="2"/>
  <c r="EU62" i="2"/>
  <c r="EY62" i="2"/>
  <c r="FA62" i="2"/>
  <c r="ET62" i="2"/>
  <c r="EX62" i="2"/>
  <c r="EQ62" i="2"/>
  <c r="EV62" i="2"/>
  <c r="EZ62" i="2"/>
  <c r="EO44" i="2"/>
  <c r="EN44" i="2" s="1"/>
  <c r="EQ44" i="2"/>
  <c r="ES44" i="2"/>
  <c r="ER44" i="2"/>
  <c r="EV44" i="2"/>
  <c r="FB44" i="2"/>
  <c r="EW44" i="2"/>
  <c r="EY44" i="2"/>
  <c r="EX44" i="2"/>
  <c r="EU44" i="2"/>
  <c r="ET44" i="2"/>
  <c r="FA44" i="2"/>
  <c r="EZ44" i="2"/>
  <c r="FL127" i="2"/>
  <c r="FL122" i="2"/>
  <c r="FL125" i="2"/>
  <c r="FL120" i="2"/>
  <c r="FL118" i="2"/>
  <c r="FL116" i="2"/>
  <c r="FL114" i="2"/>
  <c r="FL113" i="2"/>
  <c r="FL124" i="2"/>
  <c r="FL121" i="2"/>
  <c r="FL119" i="2"/>
  <c r="FL117" i="2"/>
  <c r="FL115" i="2"/>
  <c r="FL123" i="2"/>
  <c r="FL112" i="2"/>
  <c r="FL15" i="2"/>
  <c r="GT17" i="2" s="1"/>
  <c r="FL10" i="2"/>
  <c r="FY41" i="2"/>
  <c r="FY46" i="2"/>
  <c r="GA46" i="2"/>
  <c r="GA41" i="2"/>
  <c r="BF29" i="2"/>
  <c r="EO23" i="2"/>
  <c r="EN23" i="2" s="1"/>
  <c r="ES23" i="2"/>
  <c r="FB23" i="2"/>
  <c r="ER23" i="2"/>
  <c r="FA23" i="2"/>
  <c r="EY23" i="2"/>
  <c r="EX23" i="2"/>
  <c r="EQ23" i="2"/>
  <c r="EU23" i="2"/>
  <c r="EV23" i="2"/>
  <c r="ET23" i="2"/>
  <c r="EW23" i="2"/>
  <c r="EZ23" i="2"/>
  <c r="FZ41" i="2"/>
  <c r="FZ46" i="2"/>
  <c r="EO17" i="2"/>
  <c r="EN17" i="2" s="1"/>
  <c r="FA17" i="2"/>
  <c r="ER17" i="2"/>
  <c r="FB17" i="2"/>
  <c r="EX17" i="2"/>
  <c r="EU17" i="2"/>
  <c r="ES17" i="2"/>
  <c r="EQ17" i="2"/>
  <c r="EV17" i="2"/>
  <c r="EY17" i="2"/>
  <c r="ET17" i="2"/>
  <c r="EW17" i="2"/>
  <c r="EZ17" i="2"/>
  <c r="EO28" i="2"/>
  <c r="EN28" i="2" s="1"/>
  <c r="EQ28" i="2"/>
  <c r="EW28" i="2"/>
  <c r="ES28" i="2"/>
  <c r="ER28" i="2"/>
  <c r="FB28" i="2"/>
  <c r="EY28" i="2"/>
  <c r="EX28" i="2"/>
  <c r="FA28" i="2"/>
  <c r="EU28" i="2"/>
  <c r="ET28" i="2"/>
  <c r="EV28" i="2"/>
  <c r="EZ28" i="2"/>
  <c r="GD41" i="2"/>
  <c r="GD46" i="2"/>
  <c r="EO88" i="2"/>
  <c r="EN88" i="2" s="1"/>
  <c r="ES88" i="2"/>
  <c r="FB88" i="2"/>
  <c r="ER88" i="2"/>
  <c r="EU88" i="2"/>
  <c r="EW88" i="2"/>
  <c r="EV88" i="2"/>
  <c r="EQ88" i="2"/>
  <c r="FA88" i="2"/>
  <c r="ET88" i="2"/>
  <c r="EX88" i="2"/>
  <c r="EY88" i="2"/>
  <c r="EZ88" i="2"/>
  <c r="EO94" i="2"/>
  <c r="EN94" i="2" s="1"/>
  <c r="ET94" i="2"/>
  <c r="ER94" i="2"/>
  <c r="ES94" i="2"/>
  <c r="FB94" i="2"/>
  <c r="EU94" i="2"/>
  <c r="EQ94" i="2"/>
  <c r="EY94" i="2"/>
  <c r="FA94" i="2"/>
  <c r="EX94" i="2"/>
  <c r="EW94" i="2"/>
  <c r="EV94" i="2"/>
  <c r="EZ94" i="2"/>
  <c r="GB10" i="2"/>
  <c r="GB15" i="2"/>
  <c r="EO38" i="2"/>
  <c r="EN38" i="2" s="1"/>
  <c r="EW38" i="2"/>
  <c r="EQ38" i="2"/>
  <c r="ES38" i="2"/>
  <c r="ER38" i="2"/>
  <c r="FB38" i="2"/>
  <c r="FA38" i="2"/>
  <c r="EX38" i="2"/>
  <c r="EU38" i="2"/>
  <c r="EV38" i="2"/>
  <c r="ET38" i="2"/>
  <c r="EY38" i="2"/>
  <c r="EZ38" i="2"/>
  <c r="EO101" i="2"/>
  <c r="EN101" i="2" s="1"/>
  <c r="ES101" i="2"/>
  <c r="EW101" i="2"/>
  <c r="EU101" i="2"/>
  <c r="FB101" i="2"/>
  <c r="ET101" i="2"/>
  <c r="ER101" i="2"/>
  <c r="EQ101" i="2"/>
  <c r="EX101" i="2"/>
  <c r="EY101" i="2"/>
  <c r="EV101" i="2"/>
  <c r="FA101" i="2"/>
  <c r="EZ101" i="2"/>
  <c r="FI362" i="2"/>
  <c r="FG363" i="2"/>
  <c r="FG364" i="2" s="1"/>
  <c r="FG331" i="2"/>
  <c r="FG335" i="2" s="1"/>
  <c r="FG339" i="2" s="1"/>
  <c r="FH100" i="2"/>
  <c r="EO40" i="2"/>
  <c r="EN40" i="2" s="1"/>
  <c r="EW40" i="2"/>
  <c r="ES40" i="2"/>
  <c r="EV40" i="2"/>
  <c r="FA40" i="2"/>
  <c r="ER40" i="2"/>
  <c r="EQ40" i="2"/>
  <c r="FB40" i="2"/>
  <c r="EY40" i="2"/>
  <c r="EX40" i="2"/>
  <c r="EU40" i="2"/>
  <c r="ET40" i="2"/>
  <c r="EZ40" i="2"/>
  <c r="Z18" i="2"/>
  <c r="EO82" i="2"/>
  <c r="EN82" i="2" s="1"/>
  <c r="ES82" i="2"/>
  <c r="ER82" i="2"/>
  <c r="FB82" i="2"/>
  <c r="EU82" i="2"/>
  <c r="ET82" i="2"/>
  <c r="EX82" i="2"/>
  <c r="EW82" i="2"/>
  <c r="EQ82" i="2"/>
  <c r="EV82" i="2"/>
  <c r="FA82" i="2"/>
  <c r="EY82" i="2"/>
  <c r="EZ82" i="2"/>
  <c r="EO85" i="2"/>
  <c r="EN85" i="2" s="1"/>
  <c r="ES85" i="2"/>
  <c r="ET85" i="2"/>
  <c r="EW85" i="2"/>
  <c r="EX85" i="2"/>
  <c r="ER85" i="2"/>
  <c r="EY85" i="2"/>
  <c r="FB85" i="2"/>
  <c r="EV85" i="2"/>
  <c r="EU85" i="2"/>
  <c r="EQ85" i="2"/>
  <c r="FA85" i="2"/>
  <c r="EZ85" i="2"/>
  <c r="EO100" i="2"/>
  <c r="EN100" i="2" s="1"/>
  <c r="ES100" i="2"/>
  <c r="ET100" i="2"/>
  <c r="FB100" i="2"/>
  <c r="ER100" i="2"/>
  <c r="EU100" i="2"/>
  <c r="EX100" i="2"/>
  <c r="EQ100" i="2"/>
  <c r="EV100" i="2"/>
  <c r="EW100" i="2"/>
  <c r="FA100" i="2"/>
  <c r="EY100" i="2"/>
  <c r="EZ100" i="2"/>
  <c r="GG69" i="2"/>
  <c r="GG70" i="2" s="1"/>
  <c r="GG71" i="2"/>
  <c r="FK111" i="2"/>
  <c r="GS16" i="2" s="1"/>
  <c r="GS15" i="2" s="1"/>
  <c r="EO16" i="2"/>
  <c r="EN16" i="2" s="1"/>
  <c r="EQ16" i="2"/>
  <c r="FA16" i="2"/>
  <c r="EY16" i="2"/>
  <c r="ER16" i="2"/>
  <c r="ES16" i="2"/>
  <c r="EW16" i="2"/>
  <c r="EX16" i="2"/>
  <c r="EU16" i="2"/>
  <c r="EV16" i="2"/>
  <c r="ET16" i="2"/>
  <c r="FB16" i="2"/>
  <c r="EZ16" i="2"/>
  <c r="EO14" i="2"/>
  <c r="EN14" i="2" s="1"/>
  <c r="ES14" i="2"/>
  <c r="EV14" i="2"/>
  <c r="EW14" i="2"/>
  <c r="EY14" i="2"/>
  <c r="ER14" i="2"/>
  <c r="EQ14" i="2"/>
  <c r="FB14" i="2"/>
  <c r="EX14" i="2"/>
  <c r="EU14" i="2"/>
  <c r="ET14" i="2"/>
  <c r="FA14" i="2"/>
  <c r="EZ14" i="2"/>
  <c r="GH81" i="2"/>
  <c r="GI50" i="2"/>
  <c r="GJ50" i="2" s="1"/>
  <c r="EO50" i="2"/>
  <c r="EN50" i="2" s="1"/>
  <c r="EV50" i="2"/>
  <c r="FB50" i="2"/>
  <c r="EQ50" i="2"/>
  <c r="EY50" i="2"/>
  <c r="ET50" i="2"/>
  <c r="ES50" i="2"/>
  <c r="ER50" i="2"/>
  <c r="FA50" i="2"/>
  <c r="EU50" i="2"/>
  <c r="EX50" i="2"/>
  <c r="EW50" i="2"/>
  <c r="EZ50" i="2"/>
  <c r="EO83" i="2"/>
  <c r="EN83" i="2" s="1"/>
  <c r="EW83" i="2"/>
  <c r="ES83" i="2"/>
  <c r="ET83" i="2"/>
  <c r="ER83" i="2"/>
  <c r="EU83" i="2"/>
  <c r="EY83" i="2"/>
  <c r="EQ83" i="2"/>
  <c r="FA83" i="2"/>
  <c r="EV83" i="2"/>
  <c r="EX83" i="2"/>
  <c r="FB83" i="2"/>
  <c r="EZ83" i="2"/>
  <c r="GC41" i="2"/>
  <c r="GC46" i="2"/>
  <c r="HO20" i="2"/>
  <c r="HN19" i="2"/>
  <c r="FF365" i="2"/>
  <c r="FF366" i="2" s="1"/>
  <c r="FF367" i="2" s="1"/>
  <c r="FF371" i="2"/>
  <c r="EO84" i="2"/>
  <c r="EN84" i="2" s="1"/>
  <c r="ET84" i="2"/>
  <c r="EW84" i="2"/>
  <c r="FB84" i="2"/>
  <c r="ER84" i="2"/>
  <c r="EU84" i="2"/>
  <c r="ES84" i="2"/>
  <c r="EQ84" i="2"/>
  <c r="FA84" i="2"/>
  <c r="EX84" i="2"/>
  <c r="EY84" i="2"/>
  <c r="EV84" i="2"/>
  <c r="EZ84" i="2"/>
  <c r="EO34" i="2"/>
  <c r="EN34" i="2" s="1"/>
  <c r="ES34" i="2"/>
  <c r="FA34" i="2"/>
  <c r="EQ34" i="2"/>
  <c r="ER34" i="2"/>
  <c r="EW34" i="2"/>
  <c r="EX34" i="2"/>
  <c r="EU34" i="2"/>
  <c r="EV34" i="2"/>
  <c r="ET34" i="2"/>
  <c r="EY34" i="2"/>
  <c r="FB34" i="2"/>
  <c r="EZ34" i="2"/>
  <c r="BF22" i="2"/>
  <c r="EO73" i="2"/>
  <c r="EN73" i="2" s="1"/>
  <c r="ES73" i="2"/>
  <c r="ER73" i="2"/>
  <c r="EU73" i="2"/>
  <c r="FB73" i="2"/>
  <c r="EW73" i="2"/>
  <c r="EQ73" i="2"/>
  <c r="EV73" i="2"/>
  <c r="ET73" i="2"/>
  <c r="FA73" i="2"/>
  <c r="EX73" i="2"/>
  <c r="EY73" i="2"/>
  <c r="EZ73" i="2"/>
  <c r="BF6" i="2"/>
  <c r="EO21" i="2"/>
  <c r="EN21" i="2" s="1"/>
  <c r="EQ21" i="2"/>
  <c r="ES21" i="2"/>
  <c r="ER21" i="2"/>
  <c r="EW21" i="2"/>
  <c r="FB21" i="2"/>
  <c r="EU21" i="2"/>
  <c r="FA21" i="2"/>
  <c r="EY21" i="2"/>
  <c r="EX21" i="2"/>
  <c r="ET21" i="2"/>
  <c r="EV21" i="2"/>
  <c r="EZ21" i="2"/>
  <c r="FM199" i="2"/>
  <c r="FM183" i="2"/>
  <c r="FM9" i="2"/>
  <c r="GU11" i="2" s="1"/>
  <c r="FM7" i="2"/>
  <c r="FM8" i="2" s="1"/>
  <c r="GU7" i="2"/>
  <c r="EO29" i="2"/>
  <c r="EN29" i="2" s="1"/>
  <c r="ES29" i="2"/>
  <c r="ER29" i="2"/>
  <c r="EV29" i="2"/>
  <c r="FB29" i="2"/>
  <c r="FA29" i="2"/>
  <c r="EY29" i="2"/>
  <c r="EQ29" i="2"/>
  <c r="EW29" i="2"/>
  <c r="EX29" i="2"/>
  <c r="ET29" i="2"/>
  <c r="EU29" i="2"/>
  <c r="EZ29" i="2"/>
  <c r="GD69" i="2"/>
  <c r="GD70" i="2" s="1"/>
  <c r="GD71" i="2"/>
  <c r="GA71" i="2"/>
  <c r="GA69" i="2"/>
  <c r="GA70" i="2" s="1"/>
  <c r="FW68" i="2"/>
  <c r="BC34" i="2"/>
  <c r="EO86" i="2"/>
  <c r="EN86" i="2" s="1"/>
  <c r="ES86" i="2"/>
  <c r="ET86" i="2"/>
  <c r="ER86" i="2"/>
  <c r="EW86" i="2"/>
  <c r="EX86" i="2"/>
  <c r="FB86" i="2"/>
  <c r="EV86" i="2"/>
  <c r="EU86" i="2"/>
  <c r="EQ86" i="2"/>
  <c r="FA86" i="2"/>
  <c r="EY86" i="2"/>
  <c r="EZ86" i="2"/>
  <c r="EO39" i="2"/>
  <c r="EN39" i="2" s="1"/>
  <c r="EW39" i="2"/>
  <c r="EY39" i="2"/>
  <c r="ES39" i="2"/>
  <c r="ER39" i="2"/>
  <c r="FA39" i="2"/>
  <c r="EQ39" i="2"/>
  <c r="EV39" i="2"/>
  <c r="FB39" i="2"/>
  <c r="EU39" i="2"/>
  <c r="EX39" i="2"/>
  <c r="ET39" i="2"/>
  <c r="EZ39" i="2"/>
  <c r="FG189" i="2"/>
  <c r="FG190" i="2" s="1"/>
  <c r="FG12" i="2"/>
  <c r="FG156" i="2"/>
  <c r="BF32" i="2"/>
  <c r="EO30" i="2"/>
  <c r="EN30" i="2" s="1"/>
  <c r="EQ30" i="2"/>
  <c r="EW30" i="2"/>
  <c r="ES30" i="2"/>
  <c r="ER30" i="2"/>
  <c r="EV30" i="2"/>
  <c r="FB30" i="2"/>
  <c r="FA30" i="2"/>
  <c r="EY30" i="2"/>
  <c r="EX30" i="2"/>
  <c r="ET30" i="2"/>
  <c r="EU30" i="2"/>
  <c r="EZ30" i="2"/>
  <c r="EP8" i="2"/>
  <c r="EH51" i="2"/>
  <c r="BC17" i="2" s="1"/>
  <c r="EO13" i="2"/>
  <c r="EN13" i="2" s="1"/>
  <c r="EQ13" i="2"/>
  <c r="EW13" i="2"/>
  <c r="ER13" i="2"/>
  <c r="EV13" i="2"/>
  <c r="ES13" i="2"/>
  <c r="FA13" i="2"/>
  <c r="EY13" i="2"/>
  <c r="ET13" i="2"/>
  <c r="FB13" i="2"/>
  <c r="EX13" i="2"/>
  <c r="EU13" i="2"/>
  <c r="EZ13" i="2"/>
  <c r="EO66" i="2"/>
  <c r="EN66" i="2" s="1"/>
  <c r="ES66" i="2"/>
  <c r="ER66" i="2"/>
  <c r="ET66" i="2"/>
  <c r="FB66" i="2"/>
  <c r="EW66" i="2"/>
  <c r="EU66" i="2"/>
  <c r="EX66" i="2"/>
  <c r="EY66" i="2"/>
  <c r="EV66" i="2"/>
  <c r="EQ66" i="2"/>
  <c r="FA66" i="2"/>
  <c r="EZ66" i="2"/>
  <c r="GT6" i="2"/>
  <c r="EO15" i="2"/>
  <c r="EN15" i="2" s="1"/>
  <c r="EW15" i="2"/>
  <c r="EQ15" i="2"/>
  <c r="ER15" i="2"/>
  <c r="EV15" i="2"/>
  <c r="FB15" i="2"/>
  <c r="ET15" i="2"/>
  <c r="ES15" i="2"/>
  <c r="EX15" i="2"/>
  <c r="EU15" i="2"/>
  <c r="EY15" i="2"/>
  <c r="FA15" i="2"/>
  <c r="EZ15" i="2"/>
  <c r="EO47" i="2"/>
  <c r="EN47" i="2" s="1"/>
  <c r="ER47" i="2"/>
  <c r="ES47" i="2"/>
  <c r="EQ47" i="2"/>
  <c r="FB47" i="2"/>
  <c r="EY47" i="2"/>
  <c r="EX47" i="2"/>
  <c r="EU47" i="2"/>
  <c r="FA47" i="2"/>
  <c r="EV47" i="2"/>
  <c r="ET47" i="2"/>
  <c r="EW47" i="2"/>
  <c r="EZ47" i="2"/>
  <c r="EO95" i="2"/>
  <c r="EN95" i="2" s="1"/>
  <c r="ER95" i="2"/>
  <c r="ES95" i="2"/>
  <c r="ET95" i="2"/>
  <c r="EW95" i="2"/>
  <c r="EX95" i="2"/>
  <c r="EQ95" i="2"/>
  <c r="EV95" i="2"/>
  <c r="FA95" i="2"/>
  <c r="FB95" i="2"/>
  <c r="EU95" i="2"/>
  <c r="EY95" i="2"/>
  <c r="EZ95" i="2"/>
  <c r="EO42" i="2"/>
  <c r="EN42" i="2" s="1"/>
  <c r="EW42" i="2"/>
  <c r="ER42" i="2"/>
  <c r="ES42" i="2"/>
  <c r="EV42" i="2"/>
  <c r="EQ42" i="2"/>
  <c r="FB42" i="2"/>
  <c r="FA42" i="2"/>
  <c r="EY42" i="2"/>
  <c r="EX42" i="2"/>
  <c r="EU42" i="2"/>
  <c r="ET42" i="2"/>
  <c r="EZ42" i="2"/>
  <c r="EO91" i="2"/>
  <c r="EN91" i="2" s="1"/>
  <c r="ES91" i="2"/>
  <c r="EU91" i="2"/>
  <c r="FB91" i="2"/>
  <c r="ER91" i="2"/>
  <c r="EW91" i="2"/>
  <c r="FA91" i="2"/>
  <c r="EY91" i="2"/>
  <c r="ET91" i="2"/>
  <c r="EX91" i="2"/>
  <c r="EQ91" i="2"/>
  <c r="EV91" i="2"/>
  <c r="EZ91" i="2"/>
  <c r="EO79" i="2"/>
  <c r="EN79" i="2" s="1"/>
  <c r="ES79" i="2"/>
  <c r="EW79" i="2"/>
  <c r="ER79" i="2"/>
  <c r="EU79" i="2"/>
  <c r="FB79" i="2"/>
  <c r="ET79" i="2"/>
  <c r="EQ79" i="2"/>
  <c r="EY79" i="2"/>
  <c r="FA79" i="2"/>
  <c r="EX79" i="2"/>
  <c r="EV79" i="2"/>
  <c r="EZ79" i="2"/>
  <c r="HT19" i="2"/>
  <c r="HU20" i="2"/>
  <c r="EO24" i="2"/>
  <c r="EN24" i="2" s="1"/>
  <c r="ER24" i="2"/>
  <c r="EV24" i="2"/>
  <c r="EW24" i="2"/>
  <c r="EQ24" i="2"/>
  <c r="FA24" i="2"/>
  <c r="EU24" i="2"/>
  <c r="ES24" i="2"/>
  <c r="FB24" i="2"/>
  <c r="ET24" i="2"/>
  <c r="EX24" i="2"/>
  <c r="EY24" i="2"/>
  <c r="EZ24" i="2"/>
  <c r="EO99" i="2"/>
  <c r="EN99" i="2" s="1"/>
  <c r="ER99" i="2"/>
  <c r="ES99" i="2"/>
  <c r="ET99" i="2"/>
  <c r="FB99" i="2"/>
  <c r="EW99" i="2"/>
  <c r="EY99" i="2"/>
  <c r="EV99" i="2"/>
  <c r="FA99" i="2"/>
  <c r="EU99" i="2"/>
  <c r="EX99" i="2"/>
  <c r="EQ99" i="2"/>
  <c r="EZ99" i="2"/>
  <c r="EO89" i="2"/>
  <c r="EN89" i="2" s="1"/>
  <c r="ET89" i="2"/>
  <c r="ER89" i="2"/>
  <c r="EW89" i="2"/>
  <c r="ES89" i="2"/>
  <c r="FB89" i="2"/>
  <c r="EU89" i="2"/>
  <c r="EX89" i="2"/>
  <c r="EV89" i="2"/>
  <c r="FA89" i="2"/>
  <c r="EY89" i="2"/>
  <c r="EQ89" i="2"/>
  <c r="EZ89" i="2"/>
  <c r="BF31" i="2"/>
  <c r="FF189" i="2"/>
  <c r="FF190" i="2" s="1"/>
  <c r="FR32" i="2"/>
  <c r="FF12" i="2"/>
  <c r="FF156" i="2"/>
  <c r="FI275" i="2"/>
  <c r="FI207" i="2" s="1"/>
  <c r="FI363" i="2" s="1"/>
  <c r="FI364" i="2" s="1"/>
  <c r="FI106" i="2"/>
  <c r="FI100" i="2" s="1"/>
  <c r="GD77" i="2" l="1"/>
  <c r="GD72" i="2"/>
  <c r="FK333" i="2"/>
  <c r="FK158" i="2" s="1"/>
  <c r="FK302" i="2"/>
  <c r="FK310" i="2"/>
  <c r="FK135" i="2" s="1"/>
  <c r="FK281" i="2"/>
  <c r="FK205" i="2"/>
  <c r="GF77" i="2"/>
  <c r="GF72" i="2"/>
  <c r="GA77" i="2"/>
  <c r="GA72" i="2"/>
  <c r="FY72" i="2"/>
  <c r="FY77" i="2"/>
  <c r="GB77" i="2"/>
  <c r="GB72" i="2"/>
  <c r="FM125" i="2"/>
  <c r="FM120" i="2"/>
  <c r="FM118" i="2"/>
  <c r="FM116" i="2"/>
  <c r="FM114" i="2"/>
  <c r="FM113" i="2"/>
  <c r="FM127" i="2"/>
  <c r="FM124" i="2"/>
  <c r="FM121" i="2"/>
  <c r="FM119" i="2"/>
  <c r="FM117" i="2"/>
  <c r="FM115" i="2"/>
  <c r="FM123" i="2"/>
  <c r="FM112" i="2"/>
  <c r="FM122" i="2"/>
  <c r="FM15" i="2"/>
  <c r="FM10" i="2"/>
  <c r="GG72" i="2"/>
  <c r="GG77" i="2"/>
  <c r="FZ77" i="2"/>
  <c r="FZ72" i="2"/>
  <c r="FF160" i="2"/>
  <c r="FR156" i="2"/>
  <c r="FF13" i="2"/>
  <c r="FG365" i="2"/>
  <c r="FG366" i="2" s="1"/>
  <c r="FG367" i="2" s="1"/>
  <c r="FG371" i="2"/>
  <c r="GE77" i="2"/>
  <c r="GE72" i="2"/>
  <c r="FX77" i="2"/>
  <c r="FX72" i="2"/>
  <c r="FF339" i="2"/>
  <c r="FR335" i="2"/>
  <c r="FN199" i="2"/>
  <c r="FN183" i="2"/>
  <c r="FN7" i="2"/>
  <c r="FN8" i="2" s="1"/>
  <c r="FN9" i="2"/>
  <c r="GV11" i="2" s="1"/>
  <c r="GV7" i="2"/>
  <c r="FW43" i="2"/>
  <c r="GI43" i="2" s="1"/>
  <c r="GJ43" i="2" s="1"/>
  <c r="HN27" i="2"/>
  <c r="FW12" i="2"/>
  <c r="GI12" i="2" s="1"/>
  <c r="GJ12" i="2" s="1"/>
  <c r="FR12" i="2"/>
  <c r="FI32" i="2"/>
  <c r="FR189" i="2"/>
  <c r="FM201" i="2"/>
  <c r="FM206" i="2"/>
  <c r="Z19" i="2"/>
  <c r="FH32" i="2"/>
  <c r="FL111" i="2"/>
  <c r="GT16" i="2" s="1"/>
  <c r="GT15" i="2" s="1"/>
  <c r="FL357" i="2"/>
  <c r="FL203" i="2"/>
  <c r="FL204" i="2"/>
  <c r="FL202" i="2"/>
  <c r="GR15" i="2"/>
  <c r="EO59" i="2"/>
  <c r="EN59" i="2" s="1"/>
  <c r="FB59" i="2"/>
  <c r="FB102" i="2" s="1"/>
  <c r="BD33" i="2" s="1"/>
  <c r="GH99" i="2" s="1"/>
  <c r="ER59" i="2"/>
  <c r="ER102" i="2" s="1"/>
  <c r="BD23" i="2" s="1"/>
  <c r="FX99" i="2" s="1"/>
  <c r="EW59" i="2"/>
  <c r="EW102" i="2" s="1"/>
  <c r="BD28" i="2" s="1"/>
  <c r="GC99" i="2" s="1"/>
  <c r="ES59" i="2"/>
  <c r="ES102" i="2" s="1"/>
  <c r="BD24" i="2" s="1"/>
  <c r="FY99" i="2" s="1"/>
  <c r="ET59" i="2"/>
  <c r="ET102" i="2" s="1"/>
  <c r="BD25" i="2" s="1"/>
  <c r="FZ99" i="2" s="1"/>
  <c r="EU59" i="2"/>
  <c r="EU102" i="2" s="1"/>
  <c r="BD26" i="2" s="1"/>
  <c r="GA99" i="2" s="1"/>
  <c r="FA59" i="2"/>
  <c r="FA102" i="2" s="1"/>
  <c r="BD32" i="2" s="1"/>
  <c r="GG99" i="2" s="1"/>
  <c r="EQ59" i="2"/>
  <c r="EQ102" i="2" s="1"/>
  <c r="BD22" i="2" s="1"/>
  <c r="EX59" i="2"/>
  <c r="EX102" i="2" s="1"/>
  <c r="BD29" i="2" s="1"/>
  <c r="GD99" i="2" s="1"/>
  <c r="EY59" i="2"/>
  <c r="EY102" i="2" s="1"/>
  <c r="BD30" i="2" s="1"/>
  <c r="GE99" i="2" s="1"/>
  <c r="EV59" i="2"/>
  <c r="EV102" i="2" s="1"/>
  <c r="BD27" i="2" s="1"/>
  <c r="GB99" i="2" s="1"/>
  <c r="EZ59" i="2"/>
  <c r="EZ102" i="2" s="1"/>
  <c r="BD31" i="2" s="1"/>
  <c r="GF99" i="2" s="1"/>
  <c r="AB19" i="2"/>
  <c r="AE18" i="2"/>
  <c r="AA18" i="2"/>
  <c r="AK18" i="2" s="1"/>
  <c r="AJ18" i="2" s="1"/>
  <c r="AC18" i="2"/>
  <c r="FH363" i="2"/>
  <c r="FH364" i="2" s="1"/>
  <c r="FH331" i="2"/>
  <c r="FH335" i="2" s="1"/>
  <c r="FH339" i="2" s="1"/>
  <c r="GH41" i="2"/>
  <c r="GH46" i="2"/>
  <c r="FJ275" i="2"/>
  <c r="FJ207" i="2" s="1"/>
  <c r="FJ363" i="2" s="1"/>
  <c r="FJ364" i="2" s="1"/>
  <c r="FJ106" i="2"/>
  <c r="FJ100" i="2" s="1"/>
  <c r="FX74" i="2"/>
  <c r="FX43" i="2"/>
  <c r="FX12" i="2"/>
  <c r="HP27" i="2"/>
  <c r="FL188" i="2"/>
  <c r="GI10" i="2"/>
  <c r="GJ10" i="2" s="1"/>
  <c r="FW13" i="2"/>
  <c r="HU19" i="2"/>
  <c r="FG191" i="2"/>
  <c r="FG192" i="2" s="1"/>
  <c r="FG193" i="2" s="1"/>
  <c r="FI371" i="2"/>
  <c r="FI365" i="2"/>
  <c r="FI366" i="2" s="1"/>
  <c r="FI367" i="2" s="1"/>
  <c r="FF191" i="2"/>
  <c r="FF192" i="2" s="1"/>
  <c r="FF193" i="2" s="1"/>
  <c r="FG160" i="2"/>
  <c r="FG164" i="2" s="1"/>
  <c r="FG13" i="2"/>
  <c r="FG17" i="2" s="1"/>
  <c r="FG21" i="2" s="1"/>
  <c r="FG353" i="2"/>
  <c r="FG356" i="2" s="1"/>
  <c r="FG358" i="2" s="1"/>
  <c r="FG351" i="2"/>
  <c r="GP33" i="2"/>
  <c r="GJ8" i="2"/>
  <c r="FJ362" i="2"/>
  <c r="FJ331" i="2"/>
  <c r="FJ335" i="2" s="1"/>
  <c r="FJ339" i="2" s="1"/>
  <c r="FJ301" i="2"/>
  <c r="GC72" i="2"/>
  <c r="GC77" i="2"/>
  <c r="FJ135" i="2"/>
  <c r="FJ158" i="2"/>
  <c r="EP51" i="2"/>
  <c r="EO8" i="2"/>
  <c r="FB8" i="2"/>
  <c r="FB51" i="2" s="1"/>
  <c r="BD17" i="2" s="1"/>
  <c r="EQ8" i="2"/>
  <c r="EQ51" i="2" s="1"/>
  <c r="BD6" i="2" s="1"/>
  <c r="BD18" i="2" s="1"/>
  <c r="ES8" i="2"/>
  <c r="ES51" i="2" s="1"/>
  <c r="BD8" i="2" s="1"/>
  <c r="ER8" i="2"/>
  <c r="ER51" i="2" s="1"/>
  <c r="BD7" i="2" s="1"/>
  <c r="EV8" i="2"/>
  <c r="EV51" i="2" s="1"/>
  <c r="BD11" i="2" s="1"/>
  <c r="EW8" i="2"/>
  <c r="EW51" i="2" s="1"/>
  <c r="BD12" i="2" s="1"/>
  <c r="EX8" i="2"/>
  <c r="EX51" i="2" s="1"/>
  <c r="BD13" i="2" s="1"/>
  <c r="EU8" i="2"/>
  <c r="EU51" i="2" s="1"/>
  <c r="BD10" i="2" s="1"/>
  <c r="ET8" i="2"/>
  <c r="ET51" i="2" s="1"/>
  <c r="BD9" i="2" s="1"/>
  <c r="EY8" i="2"/>
  <c r="EY51" i="2" s="1"/>
  <c r="BD14" i="2" s="1"/>
  <c r="FA8" i="2"/>
  <c r="FA51" i="2" s="1"/>
  <c r="BD16" i="2" s="1"/>
  <c r="EZ8" i="2"/>
  <c r="EZ51" i="2" s="1"/>
  <c r="BD15" i="2" s="1"/>
  <c r="HO19" i="2"/>
  <c r="FW46" i="2"/>
  <c r="GI46" i="2" s="1"/>
  <c r="GJ46" i="2" s="1"/>
  <c r="GI39" i="2"/>
  <c r="FW41" i="2"/>
  <c r="GI68" i="2"/>
  <c r="GJ68" i="2" s="1"/>
  <c r="FW71" i="2"/>
  <c r="GI71" i="2" s="1"/>
  <c r="GJ71" i="2" s="1"/>
  <c r="FW70" i="2"/>
  <c r="FW69" i="2"/>
  <c r="GI69" i="2" s="1"/>
  <c r="GU6" i="2"/>
  <c r="GH112" i="2"/>
  <c r="GI81" i="2"/>
  <c r="GJ81" i="2" s="1"/>
  <c r="HX20" i="2"/>
  <c r="FI331" i="2"/>
  <c r="FI335" i="2" s="1"/>
  <c r="FI339" i="2" s="1"/>
  <c r="GH69" i="2"/>
  <c r="GH70" i="2" s="1"/>
  <c r="GH71" i="2"/>
  <c r="AF17" i="2"/>
  <c r="FO6" i="2"/>
  <c r="AH17" i="2"/>
  <c r="FX13" i="2"/>
  <c r="FX17" i="2" s="1"/>
  <c r="FX21" i="2" s="1"/>
  <c r="FX44" i="2"/>
  <c r="FX48" i="2" s="1"/>
  <c r="FX52" i="2" s="1"/>
  <c r="FN127" i="2" l="1"/>
  <c r="FN124" i="2"/>
  <c r="FN121" i="2"/>
  <c r="FN119" i="2"/>
  <c r="FN117" i="2"/>
  <c r="FN115" i="2"/>
  <c r="FN123" i="2"/>
  <c r="FN112" i="2"/>
  <c r="FN122" i="2"/>
  <c r="FN120" i="2"/>
  <c r="FN118" i="2"/>
  <c r="FN116" i="2"/>
  <c r="FN114" i="2"/>
  <c r="FN113" i="2"/>
  <c r="FN125" i="2"/>
  <c r="FN15" i="2"/>
  <c r="GV17" i="2" s="1"/>
  <c r="FN10" i="2"/>
  <c r="GH77" i="2"/>
  <c r="GH72" i="2"/>
  <c r="FX25" i="2"/>
  <c r="FX27" i="2" s="1"/>
  <c r="FX28" i="2" s="1"/>
  <c r="FW77" i="2"/>
  <c r="GI77" i="2" s="1"/>
  <c r="GJ77" i="2" s="1"/>
  <c r="FW72" i="2"/>
  <c r="GI70" i="2"/>
  <c r="FW44" i="2"/>
  <c r="GI41" i="2"/>
  <c r="GJ41" i="2" s="1"/>
  <c r="GF100" i="2"/>
  <c r="GF101" i="2" s="1"/>
  <c r="GF102" i="2"/>
  <c r="GJ39" i="2"/>
  <c r="GK39" i="2"/>
  <c r="FJ351" i="2"/>
  <c r="FJ353" i="2" s="1"/>
  <c r="FJ356" i="2" s="1"/>
  <c r="FJ358" i="2" s="1"/>
  <c r="HQ27" i="2"/>
  <c r="HP37" i="2"/>
  <c r="FI351" i="2"/>
  <c r="FI353" i="2" s="1"/>
  <c r="FI356" i="2" s="1"/>
  <c r="FI358" i="2" s="1"/>
  <c r="FG177" i="2"/>
  <c r="FH353" i="2"/>
  <c r="FH356" i="2" s="1"/>
  <c r="FH358" i="2" s="1"/>
  <c r="FH351" i="2"/>
  <c r="AF18" i="2"/>
  <c r="AH18" i="2"/>
  <c r="FP6" i="2"/>
  <c r="GE102" i="2"/>
  <c r="GE100" i="2"/>
  <c r="GE101" i="2"/>
  <c r="GA102" i="2"/>
  <c r="GA100" i="2"/>
  <c r="GA101" i="2" s="1"/>
  <c r="FX100" i="2"/>
  <c r="FX101" i="2" s="1"/>
  <c r="FX102" i="2"/>
  <c r="HV20" i="2"/>
  <c r="FM357" i="2"/>
  <c r="FM204" i="2"/>
  <c r="FM202" i="2"/>
  <c r="FM203" i="2"/>
  <c r="GV6" i="2"/>
  <c r="FX75" i="2"/>
  <c r="FX79" i="2" s="1"/>
  <c r="FX83" i="2" s="1"/>
  <c r="FF164" i="2"/>
  <c r="FR160" i="2"/>
  <c r="FM188" i="2"/>
  <c r="GS34" i="2"/>
  <c r="GS33" i="2" s="1"/>
  <c r="FK126" i="2"/>
  <c r="GR34" i="2"/>
  <c r="FJ126" i="2"/>
  <c r="FJ32" i="2" s="1"/>
  <c r="FW17" i="2"/>
  <c r="GI13" i="2"/>
  <c r="GJ13" i="2" s="1"/>
  <c r="FW99" i="2"/>
  <c r="BD34" i="2"/>
  <c r="HZ20" i="2"/>
  <c r="FX56" i="2"/>
  <c r="FX58" i="2" s="1"/>
  <c r="FX59" i="2" s="1"/>
  <c r="FO199" i="2"/>
  <c r="FO183" i="2"/>
  <c r="FO9" i="2"/>
  <c r="GW11" i="2" s="1"/>
  <c r="GW7" i="2"/>
  <c r="FO8" i="2"/>
  <c r="FO7" i="2"/>
  <c r="EO51" i="2"/>
  <c r="EN8" i="2"/>
  <c r="EN51" i="2" s="1"/>
  <c r="FH365" i="2"/>
  <c r="FH371" i="2"/>
  <c r="FH366" i="2"/>
  <c r="FH367" i="2" s="1"/>
  <c r="AC19" i="2"/>
  <c r="AE19" i="2"/>
  <c r="AA19" i="2"/>
  <c r="AK19" i="2" s="1"/>
  <c r="AJ19" i="2" s="1"/>
  <c r="GD101" i="2"/>
  <c r="GD100" i="2"/>
  <c r="GD102" i="2"/>
  <c r="FZ102" i="2"/>
  <c r="FZ100" i="2"/>
  <c r="FZ101" i="2" s="1"/>
  <c r="GH102" i="2"/>
  <c r="GH100" i="2"/>
  <c r="GH101" i="2" s="1"/>
  <c r="FW74" i="2"/>
  <c r="GI74" i="2" s="1"/>
  <c r="GJ74" i="2" s="1"/>
  <c r="FN206" i="2"/>
  <c r="FN201" i="2"/>
  <c r="GU17" i="2"/>
  <c r="FK301" i="2"/>
  <c r="FR13" i="2"/>
  <c r="FF17" i="2"/>
  <c r="FK362" i="2"/>
  <c r="HX19" i="2"/>
  <c r="HY20" i="2"/>
  <c r="FY102" i="2"/>
  <c r="FY101" i="2"/>
  <c r="FY100" i="2"/>
  <c r="FJ366" i="2"/>
  <c r="FJ367" i="2" s="1"/>
  <c r="FJ365" i="2"/>
  <c r="FJ371" i="2"/>
  <c r="GB100" i="2"/>
  <c r="GB101" i="2" s="1"/>
  <c r="GB102" i="2"/>
  <c r="GG102" i="2"/>
  <c r="GG100" i="2"/>
  <c r="GG101" i="2" s="1"/>
  <c r="GC102" i="2"/>
  <c r="GC100" i="2"/>
  <c r="GC101" i="2" s="1"/>
  <c r="FL333" i="2"/>
  <c r="FL310" i="2"/>
  <c r="FL302" i="2"/>
  <c r="FL301" i="2" s="1"/>
  <c r="FL281" i="2"/>
  <c r="FL205" i="2"/>
  <c r="FH189" i="2"/>
  <c r="FH190" i="2" s="1"/>
  <c r="FH12" i="2"/>
  <c r="FH156" i="2"/>
  <c r="FI189" i="2"/>
  <c r="FI190" i="2" s="1"/>
  <c r="FI12" i="2"/>
  <c r="FI156" i="2"/>
  <c r="HO27" i="2"/>
  <c r="HN37" i="2"/>
  <c r="FR339" i="2"/>
  <c r="FF353" i="2"/>
  <c r="FF351" i="2"/>
  <c r="FR351" i="2" s="1"/>
  <c r="FM111" i="2"/>
  <c r="FK275" i="2"/>
  <c r="FK106" i="2"/>
  <c r="FK100" i="2" s="1"/>
  <c r="GB103" i="2" l="1"/>
  <c r="GB108" i="2"/>
  <c r="FJ189" i="2"/>
  <c r="FJ190" i="2" s="1"/>
  <c r="FJ12" i="2"/>
  <c r="FJ156" i="2"/>
  <c r="GA108" i="2"/>
  <c r="GA103" i="2"/>
  <c r="GG108" i="2"/>
  <c r="GG103" i="2"/>
  <c r="GH103" i="2"/>
  <c r="GH108" i="2"/>
  <c r="GF103" i="2"/>
  <c r="GF108" i="2"/>
  <c r="GC108" i="2"/>
  <c r="GC103" i="2"/>
  <c r="FZ103" i="2"/>
  <c r="FZ106" i="2" s="1"/>
  <c r="FZ110" i="2" s="1"/>
  <c r="FZ108" i="2"/>
  <c r="FX103" i="2"/>
  <c r="FX106" i="2" s="1"/>
  <c r="FX110" i="2" s="1"/>
  <c r="FX108" i="2"/>
  <c r="FX105" i="2"/>
  <c r="HO37" i="2"/>
  <c r="FZ105" i="2"/>
  <c r="FZ74" i="2"/>
  <c r="FZ75" i="2" s="1"/>
  <c r="FZ79" i="2" s="1"/>
  <c r="FZ83" i="2" s="1"/>
  <c r="FZ43" i="2"/>
  <c r="FZ44" i="2" s="1"/>
  <c r="FZ48" i="2" s="1"/>
  <c r="FZ52" i="2" s="1"/>
  <c r="HT27" i="2"/>
  <c r="FZ12" i="2"/>
  <c r="FZ13" i="2" s="1"/>
  <c r="FZ17" i="2" s="1"/>
  <c r="FZ21" i="2" s="1"/>
  <c r="FH191" i="2"/>
  <c r="FH192" i="2" s="1"/>
  <c r="FH193" i="2" s="1"/>
  <c r="FL135" i="2"/>
  <c r="FF21" i="2"/>
  <c r="FR21" i="2" s="1"/>
  <c r="FR17" i="2"/>
  <c r="GW6" i="2"/>
  <c r="GR33" i="2"/>
  <c r="FX87" i="2"/>
  <c r="FX89" i="2" s="1"/>
  <c r="FX90" i="2" s="1"/>
  <c r="FM333" i="2"/>
  <c r="FM158" i="2" s="1"/>
  <c r="FM310" i="2"/>
  <c r="FM135" i="2" s="1"/>
  <c r="FM302" i="2"/>
  <c r="FM301" i="2" s="1"/>
  <c r="FM281" i="2"/>
  <c r="FM205" i="2"/>
  <c r="HW20" i="2"/>
  <c r="HV19" i="2"/>
  <c r="GE108" i="2"/>
  <c r="GE103" i="2"/>
  <c r="GO38" i="2"/>
  <c r="GO37" i="2" s="1"/>
  <c r="GO39" i="2" s="1"/>
  <c r="FG25" i="2"/>
  <c r="GK70" i="2"/>
  <c r="GJ70" i="2"/>
  <c r="FK207" i="2"/>
  <c r="FY105" i="2"/>
  <c r="FY74" i="2"/>
  <c r="FY75" i="2" s="1"/>
  <c r="FY79" i="2" s="1"/>
  <c r="FY83" i="2" s="1"/>
  <c r="FY43" i="2"/>
  <c r="FY44" i="2" s="1"/>
  <c r="FY48" i="2" s="1"/>
  <c r="FY52" i="2" s="1"/>
  <c r="HR27" i="2"/>
  <c r="FY12" i="2"/>
  <c r="FY13" i="2" s="1"/>
  <c r="FY17" i="2" s="1"/>
  <c r="FY21" i="2" s="1"/>
  <c r="FO206" i="2"/>
  <c r="FO201" i="2"/>
  <c r="IA20" i="2"/>
  <c r="HZ19" i="2"/>
  <c r="FF179" i="2"/>
  <c r="FR164" i="2"/>
  <c r="FF177" i="2"/>
  <c r="FP183" i="2"/>
  <c r="FP199" i="2"/>
  <c r="GX7" i="2"/>
  <c r="FP7" i="2"/>
  <c r="FP8" i="2" s="1"/>
  <c r="FP9" i="2"/>
  <c r="GX11" i="2" s="1"/>
  <c r="FI191" i="2"/>
  <c r="FI192" i="2" s="1"/>
  <c r="FI193" i="2" s="1"/>
  <c r="FL362" i="2"/>
  <c r="FL158" i="2"/>
  <c r="HY19" i="2"/>
  <c r="AF19" i="2"/>
  <c r="AH19" i="2"/>
  <c r="AH20" i="2" s="1"/>
  <c r="FQ6" i="2"/>
  <c r="AE20" i="2"/>
  <c r="GI17" i="2"/>
  <c r="GJ17" i="2" s="1"/>
  <c r="FW21" i="2"/>
  <c r="FG179" i="2"/>
  <c r="FW75" i="2"/>
  <c r="GI72" i="2"/>
  <c r="GJ72" i="2" s="1"/>
  <c r="FN188" i="2"/>
  <c r="FI160" i="2"/>
  <c r="FI164" i="2" s="1"/>
  <c r="FI13" i="2"/>
  <c r="FI17" i="2" s="1"/>
  <c r="FI21" i="2" s="1"/>
  <c r="GD103" i="2"/>
  <c r="GD108" i="2"/>
  <c r="FO123" i="2"/>
  <c r="FO112" i="2"/>
  <c r="FO122" i="2"/>
  <c r="FO125" i="2"/>
  <c r="FO120" i="2"/>
  <c r="FO118" i="2"/>
  <c r="FO116" i="2"/>
  <c r="FO114" i="2"/>
  <c r="FO113" i="2"/>
  <c r="FO127" i="2"/>
  <c r="FO124" i="2"/>
  <c r="FO121" i="2"/>
  <c r="FO119" i="2"/>
  <c r="FO117" i="2"/>
  <c r="FO115" i="2"/>
  <c r="FO15" i="2"/>
  <c r="GW17" i="2" s="1"/>
  <c r="FO10" i="2"/>
  <c r="GI44" i="2"/>
  <c r="GJ44" i="2" s="1"/>
  <c r="FW48" i="2"/>
  <c r="FK32" i="2"/>
  <c r="GU16" i="2"/>
  <c r="FF356" i="2"/>
  <c r="FF358" i="2" s="1"/>
  <c r="FR353" i="2"/>
  <c r="FH160" i="2"/>
  <c r="FH164" i="2" s="1"/>
  <c r="FH13" i="2"/>
  <c r="FH17" i="2" s="1"/>
  <c r="FH21" i="2" s="1"/>
  <c r="FL275" i="2"/>
  <c r="FL207" i="2" s="1"/>
  <c r="FL363" i="2" s="1"/>
  <c r="FL106" i="2"/>
  <c r="FL100" i="2" s="1"/>
  <c r="FY108" i="2"/>
  <c r="FY103" i="2"/>
  <c r="FY106" i="2" s="1"/>
  <c r="FY110" i="2" s="1"/>
  <c r="FN357" i="2"/>
  <c r="FN204" i="2"/>
  <c r="FN202" i="2"/>
  <c r="FN203" i="2"/>
  <c r="FW102" i="2"/>
  <c r="GI102" i="2" s="1"/>
  <c r="GJ102" i="2" s="1"/>
  <c r="GI99" i="2"/>
  <c r="GJ99" i="2" s="1"/>
  <c r="FW100" i="2"/>
  <c r="GI100" i="2" s="1"/>
  <c r="GK100" i="2" s="1"/>
  <c r="HQ37" i="2"/>
  <c r="FN111" i="2"/>
  <c r="GV16" i="2" s="1"/>
  <c r="GV15" i="2" s="1"/>
  <c r="FP127" i="2" l="1"/>
  <c r="FP122" i="2"/>
  <c r="FP125" i="2"/>
  <c r="FP120" i="2"/>
  <c r="FP118" i="2"/>
  <c r="FP116" i="2"/>
  <c r="FP114" i="2"/>
  <c r="FP113" i="2"/>
  <c r="FP121" i="2"/>
  <c r="FP119" i="2"/>
  <c r="FP117" i="2"/>
  <c r="FP115" i="2"/>
  <c r="FP124" i="2"/>
  <c r="FP112" i="2"/>
  <c r="FP123" i="2"/>
  <c r="FP15" i="2"/>
  <c r="GX17" i="2" s="1"/>
  <c r="FP10" i="2"/>
  <c r="FP206" i="2"/>
  <c r="FP201" i="2"/>
  <c r="FY87" i="2"/>
  <c r="FY89" i="2" s="1"/>
  <c r="FY90" i="2" s="1"/>
  <c r="FL364" i="2"/>
  <c r="FO188" i="2"/>
  <c r="FW79" i="2"/>
  <c r="GI75" i="2"/>
  <c r="GJ75" i="2" s="1"/>
  <c r="FR177" i="2"/>
  <c r="GN38" i="2"/>
  <c r="FF25" i="2"/>
  <c r="FR25" i="2" s="1"/>
  <c r="FR28" i="2" s="1"/>
  <c r="HS27" i="2"/>
  <c r="HR37" i="2"/>
  <c r="GU34" i="2"/>
  <c r="GU33" i="2" s="1"/>
  <c r="FM126" i="2"/>
  <c r="FZ27" i="2"/>
  <c r="FZ28" i="2" s="1"/>
  <c r="FZ25" i="2"/>
  <c r="FJ191" i="2"/>
  <c r="FJ192" i="2"/>
  <c r="FJ193" i="2" s="1"/>
  <c r="GU15" i="2"/>
  <c r="GI21" i="2"/>
  <c r="GJ21" i="2" s="1"/>
  <c r="FW27" i="2"/>
  <c r="FW25" i="2"/>
  <c r="GI25" i="2" s="1"/>
  <c r="GJ25" i="2" s="1"/>
  <c r="FF182" i="2"/>
  <c r="FF184" i="2" s="1"/>
  <c r="FF27" i="2"/>
  <c r="FR27" i="2" s="1"/>
  <c r="FS27" i="2" s="1"/>
  <c r="FK189" i="2"/>
  <c r="FK190" i="2" s="1"/>
  <c r="FK12" i="2"/>
  <c r="FK156" i="2"/>
  <c r="FW101" i="2"/>
  <c r="FN302" i="2"/>
  <c r="FN281" i="2"/>
  <c r="FN333" i="2"/>
  <c r="FN310" i="2"/>
  <c r="FN135" i="2" s="1"/>
  <c r="FN205" i="2"/>
  <c r="ID20" i="2"/>
  <c r="GI48" i="2"/>
  <c r="GJ48" i="2" s="1"/>
  <c r="FW52" i="2"/>
  <c r="FG182" i="2"/>
  <c r="FG184" i="2" s="1"/>
  <c r="FG27" i="2"/>
  <c r="FL331" i="2"/>
  <c r="FL335" i="2" s="1"/>
  <c r="FL339" i="2" s="1"/>
  <c r="GX6" i="2"/>
  <c r="FR179" i="2"/>
  <c r="FO357" i="2"/>
  <c r="FO203" i="2"/>
  <c r="FO202" i="2"/>
  <c r="FO204" i="2"/>
  <c r="FY56" i="2"/>
  <c r="FY58" i="2" s="1"/>
  <c r="FY59" i="2" s="1"/>
  <c r="FM362" i="2"/>
  <c r="FM331" i="2"/>
  <c r="FM335" i="2" s="1"/>
  <c r="FM339" i="2" s="1"/>
  <c r="GT34" i="2"/>
  <c r="FL126" i="2"/>
  <c r="FL32" i="2" s="1"/>
  <c r="HU27" i="2"/>
  <c r="HT37" i="2"/>
  <c r="FM275" i="2"/>
  <c r="FM207" i="2" s="1"/>
  <c r="FM363" i="2" s="1"/>
  <c r="FM364" i="2" s="1"/>
  <c r="FM106" i="2"/>
  <c r="FM100" i="2" s="1"/>
  <c r="FZ56" i="2"/>
  <c r="FZ58" i="2" s="1"/>
  <c r="FZ59" i="2" s="1"/>
  <c r="FJ160" i="2"/>
  <c r="FJ164" i="2" s="1"/>
  <c r="FJ13" i="2"/>
  <c r="FJ17" i="2" s="1"/>
  <c r="FJ21" i="2" s="1"/>
  <c r="FH177" i="2"/>
  <c r="FH179" i="2" s="1"/>
  <c r="FI179" i="2"/>
  <c r="FI177" i="2"/>
  <c r="FK363" i="2"/>
  <c r="FK364" i="2" s="1"/>
  <c r="FK331" i="2"/>
  <c r="FK335" i="2" s="1"/>
  <c r="FK339" i="2" s="1"/>
  <c r="FR356" i="2"/>
  <c r="FO111" i="2"/>
  <c r="GW16" i="2" s="1"/>
  <c r="GW15" i="2" s="1"/>
  <c r="FQ199" i="2"/>
  <c r="FQ183" i="2"/>
  <c r="FQ9" i="2"/>
  <c r="GY7" i="2"/>
  <c r="FQ8" i="2"/>
  <c r="FQ7" i="2"/>
  <c r="FR7" i="2" s="1"/>
  <c r="FR6" i="2"/>
  <c r="FS164" i="2" s="1"/>
  <c r="IA19" i="2"/>
  <c r="FY25" i="2"/>
  <c r="FY27" i="2" s="1"/>
  <c r="FY28" i="2" s="1"/>
  <c r="HW19" i="2"/>
  <c r="FS21" i="2"/>
  <c r="FZ87" i="2"/>
  <c r="FZ89" i="2" s="1"/>
  <c r="FZ90" i="2" s="1"/>
  <c r="GA105" i="2"/>
  <c r="GA106" i="2" s="1"/>
  <c r="GA110" i="2" s="1"/>
  <c r="GA114" i="2" s="1"/>
  <c r="GA74" i="2"/>
  <c r="GA75" i="2" s="1"/>
  <c r="GA79" i="2" s="1"/>
  <c r="GA83" i="2" s="1"/>
  <c r="GA43" i="2"/>
  <c r="GA44" i="2" s="1"/>
  <c r="GA48" i="2" s="1"/>
  <c r="GA52" i="2" s="1"/>
  <c r="HV27" i="2"/>
  <c r="GA12" i="2"/>
  <c r="GA13" i="2" s="1"/>
  <c r="GA17" i="2" s="1"/>
  <c r="GA21" i="2" s="1"/>
  <c r="GA118" i="2" l="1"/>
  <c r="GA120" i="2" s="1"/>
  <c r="GA121" i="2" s="1"/>
  <c r="FH182" i="2"/>
  <c r="FH184" i="2" s="1"/>
  <c r="FH27" i="2"/>
  <c r="FL189" i="2"/>
  <c r="FL190" i="2" s="1"/>
  <c r="FL12" i="2"/>
  <c r="FL156" i="2"/>
  <c r="GY6" i="2"/>
  <c r="GZ7" i="2"/>
  <c r="FI182" i="2"/>
  <c r="FI184" i="2" s="1"/>
  <c r="FI27" i="2"/>
  <c r="HU37" i="2"/>
  <c r="IE20" i="2"/>
  <c r="ID19" i="2"/>
  <c r="FK351" i="2"/>
  <c r="FK353" i="2" s="1"/>
  <c r="FK356" i="2" s="1"/>
  <c r="FK358" i="2" s="1"/>
  <c r="HW27" i="2"/>
  <c r="HV37" i="2"/>
  <c r="FK365" i="2"/>
  <c r="FK366" i="2" s="1"/>
  <c r="FK367" i="2" s="1"/>
  <c r="FK371" i="2"/>
  <c r="FM371" i="2"/>
  <c r="FM365" i="2"/>
  <c r="FM366" i="2" s="1"/>
  <c r="FM367" i="2" s="1"/>
  <c r="GI52" i="2"/>
  <c r="GJ52" i="2" s="1"/>
  <c r="FW56" i="2"/>
  <c r="GI56" i="2" s="1"/>
  <c r="GJ56" i="2" s="1"/>
  <c r="FN362" i="2"/>
  <c r="FN301" i="2"/>
  <c r="GB105" i="2"/>
  <c r="GB106" i="2" s="1"/>
  <c r="GB110" i="2" s="1"/>
  <c r="GB114" i="2" s="1"/>
  <c r="GB74" i="2"/>
  <c r="GB75" i="2" s="1"/>
  <c r="GB79" i="2" s="1"/>
  <c r="GB83" i="2" s="1"/>
  <c r="GB43" i="2"/>
  <c r="GB44" i="2" s="1"/>
  <c r="GB48" i="2" s="1"/>
  <c r="GB52" i="2" s="1"/>
  <c r="HX27" i="2"/>
  <c r="GB12" i="2"/>
  <c r="GB13" i="2" s="1"/>
  <c r="GB17" i="2" s="1"/>
  <c r="GB21" i="2" s="1"/>
  <c r="HS37" i="2"/>
  <c r="HN73" i="2"/>
  <c r="FS177" i="2"/>
  <c r="FP357" i="2"/>
  <c r="FP204" i="2"/>
  <c r="FP202" i="2"/>
  <c r="FP203" i="2" s="1"/>
  <c r="GT33" i="2"/>
  <c r="FN158" i="2"/>
  <c r="FW108" i="2"/>
  <c r="GI108" i="2" s="1"/>
  <c r="GJ108" i="2" s="1"/>
  <c r="FW103" i="2"/>
  <c r="GI101" i="2"/>
  <c r="GJ101" i="2" s="1"/>
  <c r="FW105" i="2"/>
  <c r="GI105" i="2" s="1"/>
  <c r="GJ105" i="2" s="1"/>
  <c r="FW28" i="2"/>
  <c r="GI27" i="2"/>
  <c r="GJ27" i="2" s="1"/>
  <c r="FR183" i="2"/>
  <c r="FS172" i="2"/>
  <c r="FS170" i="2"/>
  <c r="FS176" i="2"/>
  <c r="FS6" i="2"/>
  <c r="FS19" i="2"/>
  <c r="FS37" i="2"/>
  <c r="FS50" i="2"/>
  <c r="FS42" i="2"/>
  <c r="FS49" i="2"/>
  <c r="FS71" i="2"/>
  <c r="FS77" i="2"/>
  <c r="FS68" i="2"/>
  <c r="FS78" i="2"/>
  <c r="FS91" i="2"/>
  <c r="FS98" i="2"/>
  <c r="FS110" i="2"/>
  <c r="FS109" i="2"/>
  <c r="FS63" i="2"/>
  <c r="FS44" i="2"/>
  <c r="FS53" i="2"/>
  <c r="FS45" i="2"/>
  <c r="FS54" i="2"/>
  <c r="FS55" i="2"/>
  <c r="FS67" i="2"/>
  <c r="FS62" i="2"/>
  <c r="FS74" i="2"/>
  <c r="FS88" i="2"/>
  <c r="FS83" i="2"/>
  <c r="FS93" i="2"/>
  <c r="FS95" i="2"/>
  <c r="FS103" i="2"/>
  <c r="FS143" i="2"/>
  <c r="FS128" i="2"/>
  <c r="FS134" i="2"/>
  <c r="FS162" i="2"/>
  <c r="FS152" i="2"/>
  <c r="FS46" i="2"/>
  <c r="FS52" i="2"/>
  <c r="FS51" i="2"/>
  <c r="FS61" i="2"/>
  <c r="FS171" i="2"/>
  <c r="FS36" i="2"/>
  <c r="FS65" i="2"/>
  <c r="FS64" i="2"/>
  <c r="FS73" i="2"/>
  <c r="FS69" i="2"/>
  <c r="FS66" i="2"/>
  <c r="FS76" i="2"/>
  <c r="FS79" i="2"/>
  <c r="FS90" i="2"/>
  <c r="FS85" i="2"/>
  <c r="FS102" i="2"/>
  <c r="FS129" i="2"/>
  <c r="FS104" i="2"/>
  <c r="FS142" i="2"/>
  <c r="FS136" i="2"/>
  <c r="FS173" i="2"/>
  <c r="FS150" i="2"/>
  <c r="FS39" i="2"/>
  <c r="FS70" i="2"/>
  <c r="FS87" i="2"/>
  <c r="FS146" i="2"/>
  <c r="FS153" i="2"/>
  <c r="FS131" i="2"/>
  <c r="FS141" i="2"/>
  <c r="FS133" i="2"/>
  <c r="FS96" i="2"/>
  <c r="FS38" i="2"/>
  <c r="FS92" i="2"/>
  <c r="FS34" i="2"/>
  <c r="FS145" i="2"/>
  <c r="FS58" i="2"/>
  <c r="FS149" i="2"/>
  <c r="FS139" i="2"/>
  <c r="FS47" i="2"/>
  <c r="FS144" i="2"/>
  <c r="FS101" i="2"/>
  <c r="FS43" i="2"/>
  <c r="FS99" i="2"/>
  <c r="FS56" i="2"/>
  <c r="FS105" i="2"/>
  <c r="FS97" i="2"/>
  <c r="FS151" i="2"/>
  <c r="FS89" i="2"/>
  <c r="FS132" i="2"/>
  <c r="FS40" i="2"/>
  <c r="FS140" i="2"/>
  <c r="FS81" i="2"/>
  <c r="FS148" i="2"/>
  <c r="FS59" i="2"/>
  <c r="FS72" i="2"/>
  <c r="FS130" i="2"/>
  <c r="FS154" i="2"/>
  <c r="FS57" i="2"/>
  <c r="FS48" i="2"/>
  <c r="FS60" i="2"/>
  <c r="FS107" i="2"/>
  <c r="FS75" i="2"/>
  <c r="FS108" i="2"/>
  <c r="FS94" i="2"/>
  <c r="FS137" i="2"/>
  <c r="FS86" i="2"/>
  <c r="FS84" i="2"/>
  <c r="FS174" i="2"/>
  <c r="FS138" i="2"/>
  <c r="FS147" i="2"/>
  <c r="FS175" i="2"/>
  <c r="FS169" i="2"/>
  <c r="FS82" i="2"/>
  <c r="FS41" i="2"/>
  <c r="FS80" i="2"/>
  <c r="FS168" i="2"/>
  <c r="FS167" i="2"/>
  <c r="FS35" i="2"/>
  <c r="FS23" i="2"/>
  <c r="FS33" i="2"/>
  <c r="FS32" i="2"/>
  <c r="FS12" i="2"/>
  <c r="FS156" i="2"/>
  <c r="FS13" i="2"/>
  <c r="FS160" i="2"/>
  <c r="IF20" i="2"/>
  <c r="GA56" i="2"/>
  <c r="GA58" i="2" s="1"/>
  <c r="GA59" i="2" s="1"/>
  <c r="FQ125" i="2"/>
  <c r="FR125" i="2" s="1"/>
  <c r="FQ120" i="2"/>
  <c r="FR120" i="2" s="1"/>
  <c r="FQ118" i="2"/>
  <c r="FR118" i="2" s="1"/>
  <c r="FQ116" i="2"/>
  <c r="FR116" i="2" s="1"/>
  <c r="FQ114" i="2"/>
  <c r="FR114" i="2" s="1"/>
  <c r="FQ113" i="2"/>
  <c r="FR113" i="2" s="1"/>
  <c r="FQ127" i="2"/>
  <c r="FQ124" i="2"/>
  <c r="FR124" i="2" s="1"/>
  <c r="FQ121" i="2"/>
  <c r="FR121" i="2" s="1"/>
  <c r="FQ119" i="2"/>
  <c r="FR119" i="2" s="1"/>
  <c r="FQ117" i="2"/>
  <c r="FR117" i="2" s="1"/>
  <c r="FQ115" i="2"/>
  <c r="FR115" i="2" s="1"/>
  <c r="FQ123" i="2"/>
  <c r="FR123" i="2" s="1"/>
  <c r="FQ112" i="2"/>
  <c r="FQ122" i="2"/>
  <c r="FR122" i="2" s="1"/>
  <c r="FQ10" i="2"/>
  <c r="FQ15" i="2"/>
  <c r="FR8" i="2"/>
  <c r="FQ206" i="2"/>
  <c r="FQ201" i="2"/>
  <c r="FR199" i="2"/>
  <c r="GQ38" i="2"/>
  <c r="GQ37" i="2" s="1"/>
  <c r="GQ39" i="2" s="1"/>
  <c r="FI25" i="2"/>
  <c r="FS17" i="2"/>
  <c r="FR182" i="2"/>
  <c r="FR184" i="2" s="1"/>
  <c r="FS179" i="2"/>
  <c r="FL353" i="2"/>
  <c r="FL356" i="2" s="1"/>
  <c r="FL358" i="2" s="1"/>
  <c r="FL351" i="2"/>
  <c r="GV34" i="2"/>
  <c r="GV33" i="2" s="1"/>
  <c r="FN126" i="2"/>
  <c r="FK192" i="2"/>
  <c r="FK193" i="2" s="1"/>
  <c r="FK191" i="2"/>
  <c r="IB20" i="2"/>
  <c r="FP111" i="2"/>
  <c r="GX16" i="2" s="1"/>
  <c r="GX15" i="2" s="1"/>
  <c r="FO333" i="2"/>
  <c r="FO158" i="2" s="1"/>
  <c r="FO302" i="2"/>
  <c r="FO310" i="2"/>
  <c r="FO135" i="2" s="1"/>
  <c r="FO281" i="2"/>
  <c r="FO205" i="2"/>
  <c r="FS25" i="2"/>
  <c r="FW83" i="2"/>
  <c r="GI79" i="2"/>
  <c r="GJ79" i="2" s="1"/>
  <c r="FL365" i="2"/>
  <c r="FL371" i="2"/>
  <c r="FL366" i="2"/>
  <c r="FL367" i="2" s="1"/>
  <c r="FP188" i="2"/>
  <c r="GA87" i="2"/>
  <c r="GA89" i="2" s="1"/>
  <c r="GA90" i="2" s="1"/>
  <c r="GA27" i="2"/>
  <c r="GA28" i="2" s="1"/>
  <c r="GA25" i="2"/>
  <c r="GY11" i="2"/>
  <c r="FR9" i="2"/>
  <c r="FS9" i="2" s="1"/>
  <c r="GP38" i="2"/>
  <c r="GP37" i="2" s="1"/>
  <c r="GP39" i="2" s="1"/>
  <c r="FH25" i="2"/>
  <c r="FJ177" i="2"/>
  <c r="FM32" i="2"/>
  <c r="FM353" i="2"/>
  <c r="FM356" i="2" s="1"/>
  <c r="FM358" i="2" s="1"/>
  <c r="FM351" i="2"/>
  <c r="FN275" i="2"/>
  <c r="FN207" i="2" s="1"/>
  <c r="FN363" i="2" s="1"/>
  <c r="FN106" i="2"/>
  <c r="FN100" i="2" s="1"/>
  <c r="FK160" i="2"/>
  <c r="FK164" i="2" s="1"/>
  <c r="FK13" i="2"/>
  <c r="FK17" i="2" s="1"/>
  <c r="FK21" i="2" s="1"/>
  <c r="GZ38" i="2"/>
  <c r="GN37" i="2"/>
  <c r="GN39" i="2" s="1"/>
  <c r="FP310" i="2" l="1"/>
  <c r="FP135" i="2" s="1"/>
  <c r="FP333" i="2"/>
  <c r="FP158" i="2" s="1"/>
  <c r="FP302" i="2"/>
  <c r="FP301" i="2" s="1"/>
  <c r="FP281" i="2"/>
  <c r="FP205" i="2"/>
  <c r="GR38" i="2"/>
  <c r="GR37" i="2" s="1"/>
  <c r="GR39" i="2" s="1"/>
  <c r="FJ25" i="2"/>
  <c r="GI83" i="2"/>
  <c r="GJ83" i="2" s="1"/>
  <c r="FW87" i="2"/>
  <c r="GI87" i="2" s="1"/>
  <c r="GJ87" i="2" s="1"/>
  <c r="FR127" i="2"/>
  <c r="FS127" i="2" s="1"/>
  <c r="GB118" i="2"/>
  <c r="GB120" i="2" s="1"/>
  <c r="GB121" i="2" s="1"/>
  <c r="FN32" i="2"/>
  <c r="FJ179" i="2"/>
  <c r="GZ11" i="2"/>
  <c r="FO301" i="2"/>
  <c r="IB19" i="2"/>
  <c r="IC20" i="2"/>
  <c r="FS8" i="2"/>
  <c r="GK8" i="2"/>
  <c r="FQ111" i="2"/>
  <c r="FR112" i="2"/>
  <c r="HY27" i="2"/>
  <c r="HX37" i="2"/>
  <c r="GZ6" i="2"/>
  <c r="HA7" i="2" s="1"/>
  <c r="FL160" i="2"/>
  <c r="FL164" i="2" s="1"/>
  <c r="FL13" i="2"/>
  <c r="FL17" i="2" s="1"/>
  <c r="FL21" i="2" s="1"/>
  <c r="II15" i="2"/>
  <c r="IH15" i="2" s="1"/>
  <c r="IH17" i="2" s="1"/>
  <c r="IE15" i="2"/>
  <c r="ID15" i="2" s="1"/>
  <c r="ID17" i="2" s="1"/>
  <c r="IA15" i="2"/>
  <c r="HZ15" i="2" s="1"/>
  <c r="HZ17" i="2" s="1"/>
  <c r="HW15" i="2"/>
  <c r="HV15" i="2" s="1"/>
  <c r="HV17" i="2" s="1"/>
  <c r="HS15" i="2"/>
  <c r="HR15" i="2" s="1"/>
  <c r="HR17" i="2" s="1"/>
  <c r="HO15" i="2"/>
  <c r="HN15" i="2" s="1"/>
  <c r="HY15" i="2"/>
  <c r="HX15" i="2" s="1"/>
  <c r="HX17" i="2" s="1"/>
  <c r="IK15" i="2"/>
  <c r="IJ15" i="2" s="1"/>
  <c r="IJ17" i="2" s="1"/>
  <c r="IC15" i="2"/>
  <c r="IB15" i="2" s="1"/>
  <c r="IB17" i="2" s="1"/>
  <c r="HU15" i="2"/>
  <c r="HT15" i="2" s="1"/>
  <c r="HT17" i="2" s="1"/>
  <c r="IG15" i="2"/>
  <c r="IF15" i="2" s="1"/>
  <c r="IF17" i="2" s="1"/>
  <c r="HQ15" i="2"/>
  <c r="HP15" i="2" s="1"/>
  <c r="HP17" i="2" s="1"/>
  <c r="GW34" i="2"/>
  <c r="FO126" i="2"/>
  <c r="GB25" i="2"/>
  <c r="GB27" i="2" s="1"/>
  <c r="GB28" i="2" s="1"/>
  <c r="HA38" i="2"/>
  <c r="GZ37" i="2"/>
  <c r="FN364" i="2"/>
  <c r="FM189" i="2"/>
  <c r="FM190" i="2" s="1"/>
  <c r="FM12" i="2"/>
  <c r="FM156" i="2"/>
  <c r="FO362" i="2"/>
  <c r="GY17" i="2"/>
  <c r="GZ17" i="2" s="1"/>
  <c r="FR15" i="2"/>
  <c r="FS15" i="2" s="1"/>
  <c r="GB56" i="2"/>
  <c r="GB58" i="2" s="1"/>
  <c r="GB59" i="2" s="1"/>
  <c r="HW37" i="2"/>
  <c r="IE19" i="2"/>
  <c r="GC105" i="2"/>
  <c r="GC106" i="2" s="1"/>
  <c r="GC110" i="2" s="1"/>
  <c r="GC114" i="2" s="1"/>
  <c r="GC74" i="2"/>
  <c r="GC75" i="2" s="1"/>
  <c r="GC79" i="2" s="1"/>
  <c r="GC83" i="2" s="1"/>
  <c r="GC43" i="2"/>
  <c r="GC44" i="2" s="1"/>
  <c r="GC48" i="2" s="1"/>
  <c r="GC52" i="2" s="1"/>
  <c r="HZ27" i="2"/>
  <c r="GC12" i="2"/>
  <c r="GC13" i="2" s="1"/>
  <c r="GC17" i="2" s="1"/>
  <c r="GC21" i="2" s="1"/>
  <c r="FK177" i="2"/>
  <c r="FK179" i="2" s="1"/>
  <c r="IH20" i="2"/>
  <c r="FO275" i="2"/>
  <c r="FO207" i="2" s="1"/>
  <c r="FO363" i="2" s="1"/>
  <c r="FO364" i="2" s="1"/>
  <c r="FO106" i="2"/>
  <c r="FO100" i="2" s="1"/>
  <c r="FQ357" i="2"/>
  <c r="FQ204" i="2"/>
  <c r="FR204" i="2" s="1"/>
  <c r="FS202" i="2" s="1"/>
  <c r="FQ202" i="2"/>
  <c r="FR202" i="2" s="1"/>
  <c r="FQ203" i="2"/>
  <c r="FR201" i="2"/>
  <c r="FQ188" i="2"/>
  <c r="FR10" i="2"/>
  <c r="IF19" i="2"/>
  <c r="IG20" i="2"/>
  <c r="GI103" i="2"/>
  <c r="GJ103" i="2" s="1"/>
  <c r="FW106" i="2"/>
  <c r="GB87" i="2"/>
  <c r="GB89" i="2" s="1"/>
  <c r="GB90" i="2" s="1"/>
  <c r="FN331" i="2"/>
  <c r="FN335" i="2" s="1"/>
  <c r="FN339" i="2" s="1"/>
  <c r="FW58" i="2"/>
  <c r="FL191" i="2"/>
  <c r="FL192" i="2" s="1"/>
  <c r="FL193" i="2" s="1"/>
  <c r="FK182" i="2" l="1"/>
  <c r="FK184" i="2" s="1"/>
  <c r="FK27" i="2"/>
  <c r="FR188" i="2"/>
  <c r="FR190" i="2" s="1"/>
  <c r="FS10" i="2"/>
  <c r="FO32" i="2"/>
  <c r="IL15" i="2"/>
  <c r="HN17" i="2"/>
  <c r="FO365" i="2"/>
  <c r="FO366" i="2" s="1"/>
  <c r="FO367" i="2" s="1"/>
  <c r="FO371" i="2"/>
  <c r="FM192" i="2"/>
  <c r="FM193" i="2" s="1"/>
  <c r="FM191" i="2"/>
  <c r="GW33" i="2"/>
  <c r="IC17" i="2"/>
  <c r="HR39" i="2"/>
  <c r="HR29" i="2"/>
  <c r="HS29" i="2" s="1"/>
  <c r="HS17" i="2"/>
  <c r="HR49" i="2" s="1"/>
  <c r="HS49" i="2" s="1"/>
  <c r="II17" i="2"/>
  <c r="HY37" i="2"/>
  <c r="GY16" i="2"/>
  <c r="FR111" i="2"/>
  <c r="FS111" i="2" s="1"/>
  <c r="GC56" i="2"/>
  <c r="GC58" i="2" s="1"/>
  <c r="GC59" i="2" s="1"/>
  <c r="IE17" i="2"/>
  <c r="HA36" i="2"/>
  <c r="HA32" i="2"/>
  <c r="HA6" i="2"/>
  <c r="HA8" i="2"/>
  <c r="HA21" i="2"/>
  <c r="HA27" i="2"/>
  <c r="HA22" i="2"/>
  <c r="HA23" i="2"/>
  <c r="HA14" i="2"/>
  <c r="HA26" i="2"/>
  <c r="HA9" i="2"/>
  <c r="HA18" i="2"/>
  <c r="HA29" i="2"/>
  <c r="HA30" i="2"/>
  <c r="HA35" i="2"/>
  <c r="HA13" i="2"/>
  <c r="HA31" i="2"/>
  <c r="HA25" i="2"/>
  <c r="HA24" i="2"/>
  <c r="HA20" i="2"/>
  <c r="HA19" i="2"/>
  <c r="HA11" i="2"/>
  <c r="FN351" i="2"/>
  <c r="FN353" i="2" s="1"/>
  <c r="FN356" i="2" s="1"/>
  <c r="FN358" i="2" s="1"/>
  <c r="FO331" i="2"/>
  <c r="FO335" i="2" s="1"/>
  <c r="FO339" i="2" s="1"/>
  <c r="II20" i="2"/>
  <c r="IH19" i="2"/>
  <c r="GC27" i="2"/>
  <c r="GC28" i="2" s="1"/>
  <c r="GC25" i="2"/>
  <c r="GC120" i="2"/>
  <c r="GC121" i="2" s="1"/>
  <c r="GC118" i="2"/>
  <c r="FN366" i="2"/>
  <c r="FN367" i="2" s="1"/>
  <c r="FN365" i="2"/>
  <c r="FN371" i="2"/>
  <c r="HP39" i="2"/>
  <c r="HP29" i="2"/>
  <c r="HQ29" i="2" s="1"/>
  <c r="HQ17" i="2"/>
  <c r="HP49" i="2" s="1"/>
  <c r="HQ49" i="2" s="1"/>
  <c r="IK17" i="2"/>
  <c r="HV39" i="2"/>
  <c r="HV29" i="2"/>
  <c r="HW29" i="2" s="1"/>
  <c r="HW17" i="2"/>
  <c r="HV49" i="2" s="1"/>
  <c r="HW49" i="2" s="1"/>
  <c r="IC19" i="2"/>
  <c r="FJ182" i="2"/>
  <c r="FJ184" i="2" s="1"/>
  <c r="FJ27" i="2"/>
  <c r="FP362" i="2"/>
  <c r="GX34" i="2"/>
  <c r="GX33" i="2" s="1"/>
  <c r="FP126" i="2"/>
  <c r="GI58" i="2"/>
  <c r="GJ58" i="2" s="1"/>
  <c r="FW59" i="2"/>
  <c r="FW110" i="2"/>
  <c r="GI106" i="2"/>
  <c r="GJ106" i="2" s="1"/>
  <c r="FQ333" i="2"/>
  <c r="FQ310" i="2"/>
  <c r="FQ302" i="2"/>
  <c r="FQ281" i="2"/>
  <c r="FQ205" i="2"/>
  <c r="FR203" i="2"/>
  <c r="FS201" i="2" s="1"/>
  <c r="GS38" i="2"/>
  <c r="GS37" i="2" s="1"/>
  <c r="GS39" i="2" s="1"/>
  <c r="FK25" i="2"/>
  <c r="GD105" i="2"/>
  <c r="GD106" i="2" s="1"/>
  <c r="GD110" i="2" s="1"/>
  <c r="GD114" i="2" s="1"/>
  <c r="GD74" i="2"/>
  <c r="GD75" i="2" s="1"/>
  <c r="GD79" i="2" s="1"/>
  <c r="GD83" i="2" s="1"/>
  <c r="GD43" i="2"/>
  <c r="GD44" i="2" s="1"/>
  <c r="GD48" i="2" s="1"/>
  <c r="GD52" i="2" s="1"/>
  <c r="IB27" i="2"/>
  <c r="GD12" i="2"/>
  <c r="GD13" i="2" s="1"/>
  <c r="GD17" i="2" s="1"/>
  <c r="GD21" i="2" s="1"/>
  <c r="HP72" i="2"/>
  <c r="HT39" i="2"/>
  <c r="HT29" i="2"/>
  <c r="HU29" i="2" s="1"/>
  <c r="HU17" i="2"/>
  <c r="HT49" i="2" s="1"/>
  <c r="HU49" i="2" s="1"/>
  <c r="GC87" i="2"/>
  <c r="GC89" i="2" s="1"/>
  <c r="GC90" i="2" s="1"/>
  <c r="IG19" i="2"/>
  <c r="FS328" i="2"/>
  <c r="FS321" i="2"/>
  <c r="FS318" i="2"/>
  <c r="FR357" i="2"/>
  <c r="FR358" i="2" s="1"/>
  <c r="FS323" i="2"/>
  <c r="FS305" i="2"/>
  <c r="FS302" i="2"/>
  <c r="FS296" i="2"/>
  <c r="FS292" i="2"/>
  <c r="FS288" i="2"/>
  <c r="FS315" i="2"/>
  <c r="FS309" i="2"/>
  <c r="FS303" i="2"/>
  <c r="FS272" i="2"/>
  <c r="FS258" i="2"/>
  <c r="FS327" i="2"/>
  <c r="FS313" i="2"/>
  <c r="FS307" i="2"/>
  <c r="FS304" i="2"/>
  <c r="FS283" i="2"/>
  <c r="FS275" i="2"/>
  <c r="FS269" i="2"/>
  <c r="FS266" i="2"/>
  <c r="FS262" i="2"/>
  <c r="FS252" i="2"/>
  <c r="FS248" i="2"/>
  <c r="FS244" i="2"/>
  <c r="FS240" i="2"/>
  <c r="FS237" i="2"/>
  <c r="FS231" i="2"/>
  <c r="FS228" i="2"/>
  <c r="FS225" i="2"/>
  <c r="FS221" i="2"/>
  <c r="FS214" i="2"/>
  <c r="FS210" i="2"/>
  <c r="FS325" i="2"/>
  <c r="FS301" i="2"/>
  <c r="FS295" i="2"/>
  <c r="FS291" i="2"/>
  <c r="FS287" i="2"/>
  <c r="FS280" i="2"/>
  <c r="FS276" i="2"/>
  <c r="FS270" i="2"/>
  <c r="FS263" i="2"/>
  <c r="FS259" i="2"/>
  <c r="FS256" i="2"/>
  <c r="FS249" i="2"/>
  <c r="FS245" i="2"/>
  <c r="FS241" i="2"/>
  <c r="FS235" i="2"/>
  <c r="FS232" i="2"/>
  <c r="FS222" i="2"/>
  <c r="FS285" i="2"/>
  <c r="FS277" i="2"/>
  <c r="FS274" i="2"/>
  <c r="FS264" i="2"/>
  <c r="FS281" i="2"/>
  <c r="FS260" i="2"/>
  <c r="FS238" i="2"/>
  <c r="FS233" i="2"/>
  <c r="FS207" i="2"/>
  <c r="FS199" i="2"/>
  <c r="FS250" i="2"/>
  <c r="FS267" i="2"/>
  <c r="FS246" i="2"/>
  <c r="FS227" i="2"/>
  <c r="FS211" i="2"/>
  <c r="FS242" i="2"/>
  <c r="FS223" i="2"/>
  <c r="FS208" i="2"/>
  <c r="FS212" i="2"/>
  <c r="FS216" i="2"/>
  <c r="FS271" i="2"/>
  <c r="FS209" i="2"/>
  <c r="FS219" i="2"/>
  <c r="FS220" i="2"/>
  <c r="FS282" i="2"/>
  <c r="FS213" i="2"/>
  <c r="FS278" i="2"/>
  <c r="FS342" i="2"/>
  <c r="FS247" i="2"/>
  <c r="FS290" i="2"/>
  <c r="FS312" i="2"/>
  <c r="FS316" i="2"/>
  <c r="FS261" i="2"/>
  <c r="FS226" i="2"/>
  <c r="FS298" i="2"/>
  <c r="FS314" i="2"/>
  <c r="FS326" i="2"/>
  <c r="FS254" i="2"/>
  <c r="FS243" i="2"/>
  <c r="FS215" i="2"/>
  <c r="FS230" i="2"/>
  <c r="FS257" i="2"/>
  <c r="FS239" i="2"/>
  <c r="FS224" i="2"/>
  <c r="FS289" i="2"/>
  <c r="FS268" i="2"/>
  <c r="FS294" i="2"/>
  <c r="FS344" i="2"/>
  <c r="FS322" i="2"/>
  <c r="FS319" i="2"/>
  <c r="FS251" i="2"/>
  <c r="FS317" i="2"/>
  <c r="FS293" i="2"/>
  <c r="FS335" i="2"/>
  <c r="FS324" i="2"/>
  <c r="FS320" i="2"/>
  <c r="FS297" i="2"/>
  <c r="FS286" i="2"/>
  <c r="FS306" i="2"/>
  <c r="FS332" i="2"/>
  <c r="FS265" i="2"/>
  <c r="FS311" i="2"/>
  <c r="FS218" i="2"/>
  <c r="FS236" i="2"/>
  <c r="FS345" i="2"/>
  <c r="FS217" i="2"/>
  <c r="FS284" i="2"/>
  <c r="FS343" i="2"/>
  <c r="FS229" i="2"/>
  <c r="FS346" i="2"/>
  <c r="FS255" i="2"/>
  <c r="FS347" i="2"/>
  <c r="FS253" i="2"/>
  <c r="FS341" i="2"/>
  <c r="FS340" i="2"/>
  <c r="FS339" i="2"/>
  <c r="FS206" i="2"/>
  <c r="FS205" i="2"/>
  <c r="FS329" i="2"/>
  <c r="FS333" i="2"/>
  <c r="FS349" i="2"/>
  <c r="FS337" i="2"/>
  <c r="FS351" i="2"/>
  <c r="IA27" i="2"/>
  <c r="HZ37" i="2"/>
  <c r="HP73" i="2"/>
  <c r="HA17" i="2"/>
  <c r="FM160" i="2"/>
  <c r="FM164" i="2" s="1"/>
  <c r="FM13" i="2"/>
  <c r="FM17" i="2" s="1"/>
  <c r="FM21" i="2" s="1"/>
  <c r="HA37" i="2"/>
  <c r="HT72" i="2"/>
  <c r="IG17" i="2"/>
  <c r="HX39" i="2"/>
  <c r="HX29" i="2"/>
  <c r="HY29" i="2" s="1"/>
  <c r="HY17" i="2"/>
  <c r="HX49" i="2" s="1"/>
  <c r="HY49" i="2" s="1"/>
  <c r="HR72" i="2"/>
  <c r="HZ39" i="2"/>
  <c r="HZ29" i="2"/>
  <c r="IA29" i="2" s="1"/>
  <c r="IA17" i="2"/>
  <c r="FL177" i="2"/>
  <c r="FN189" i="2"/>
  <c r="FN190" i="2" s="1"/>
  <c r="FN12" i="2"/>
  <c r="FN156" i="2"/>
  <c r="FW89" i="2"/>
  <c r="FP275" i="2"/>
  <c r="FP207" i="2" s="1"/>
  <c r="FP363" i="2" s="1"/>
  <c r="FP364" i="2" s="1"/>
  <c r="FP106" i="2"/>
  <c r="FP100" i="2" s="1"/>
  <c r="FN160" i="2" l="1"/>
  <c r="FN164" i="2" s="1"/>
  <c r="FN13" i="2"/>
  <c r="FN17" i="2" s="1"/>
  <c r="FN21" i="2" s="1"/>
  <c r="GD25" i="2"/>
  <c r="GD27" i="2" s="1"/>
  <c r="GD28" i="2" s="1"/>
  <c r="FQ158" i="2"/>
  <c r="FR158" i="2" s="1"/>
  <c r="FS158" i="2" s="1"/>
  <c r="FR333" i="2"/>
  <c r="FS331" i="2" s="1"/>
  <c r="HN39" i="2"/>
  <c r="HN72" i="2"/>
  <c r="HN74" i="2" s="1"/>
  <c r="HN29" i="2"/>
  <c r="HO29" i="2" s="1"/>
  <c r="HO17" i="2"/>
  <c r="HN49" i="2" s="1"/>
  <c r="HO49" i="2" s="1"/>
  <c r="GT38" i="2"/>
  <c r="GT37" i="2" s="1"/>
  <c r="GT39" i="2" s="1"/>
  <c r="FL25" i="2"/>
  <c r="HX41" i="2"/>
  <c r="HX43" i="2" s="1"/>
  <c r="HY39" i="2"/>
  <c r="GD118" i="2"/>
  <c r="GD120" i="2" s="1"/>
  <c r="GD121" i="2" s="1"/>
  <c r="FQ362" i="2"/>
  <c r="FR205" i="2"/>
  <c r="FP331" i="2"/>
  <c r="FP335" i="2" s="1"/>
  <c r="FP339" i="2" s="1"/>
  <c r="FP32" i="2"/>
  <c r="GE105" i="2"/>
  <c r="GE106" i="2" s="1"/>
  <c r="GE110" i="2" s="1"/>
  <c r="GE114" i="2" s="1"/>
  <c r="GE74" i="2"/>
  <c r="GE75" i="2" s="1"/>
  <c r="GE79" i="2" s="1"/>
  <c r="GE83" i="2" s="1"/>
  <c r="GE43" i="2"/>
  <c r="GE44" i="2" s="1"/>
  <c r="GE48" i="2" s="1"/>
  <c r="GE52" i="2" s="1"/>
  <c r="ID27" i="2"/>
  <c r="GE12" i="2"/>
  <c r="GE13" i="2" s="1"/>
  <c r="GE17" i="2" s="1"/>
  <c r="GE21" i="2" s="1"/>
  <c r="FL179" i="2"/>
  <c r="IC27" i="2"/>
  <c r="IB37" i="2"/>
  <c r="FQ275" i="2"/>
  <c r="FQ106" i="2"/>
  <c r="FR281" i="2"/>
  <c r="FS279" i="2" s="1"/>
  <c r="HW39" i="2"/>
  <c r="HV41" i="2"/>
  <c r="HV43" i="2" s="1"/>
  <c r="FO351" i="2"/>
  <c r="FO353" i="2" s="1"/>
  <c r="FO356" i="2" s="1"/>
  <c r="FO358" i="2" s="1"/>
  <c r="GY15" i="2"/>
  <c r="GZ16" i="2"/>
  <c r="HS39" i="2"/>
  <c r="HR41" i="2"/>
  <c r="IM15" i="2"/>
  <c r="IL17" i="2"/>
  <c r="FR191" i="2"/>
  <c r="FR192" i="2"/>
  <c r="FR193" i="2" s="1"/>
  <c r="IA39" i="2"/>
  <c r="HZ41" i="2"/>
  <c r="HZ43" i="2" s="1"/>
  <c r="FN191" i="2"/>
  <c r="FN192" i="2" s="1"/>
  <c r="FN193" i="2" s="1"/>
  <c r="HT41" i="2"/>
  <c r="HT43" i="2" s="1"/>
  <c r="HU39" i="2"/>
  <c r="GD56" i="2"/>
  <c r="GD58" i="2" s="1"/>
  <c r="GD59" i="2" s="1"/>
  <c r="FQ301" i="2"/>
  <c r="FR301" i="2" s="1"/>
  <c r="FS299" i="2" s="1"/>
  <c r="FR302" i="2"/>
  <c r="FO189" i="2"/>
  <c r="FO190" i="2" s="1"/>
  <c r="FO12" i="2"/>
  <c r="FO156" i="2"/>
  <c r="FP365" i="2"/>
  <c r="FP371" i="2"/>
  <c r="FP366" i="2"/>
  <c r="FP367" i="2" s="1"/>
  <c r="GI89" i="2"/>
  <c r="GJ89" i="2" s="1"/>
  <c r="FW90" i="2"/>
  <c r="FM177" i="2"/>
  <c r="IA37" i="2"/>
  <c r="HZ49" i="2"/>
  <c r="IA49" i="2" s="1"/>
  <c r="HP74" i="2"/>
  <c r="GD87" i="2"/>
  <c r="GD89" i="2" s="1"/>
  <c r="GD90" i="2" s="1"/>
  <c r="FQ135" i="2"/>
  <c r="FR310" i="2"/>
  <c r="FS308" i="2" s="1"/>
  <c r="GI110" i="2"/>
  <c r="GJ110" i="2" s="1"/>
  <c r="HP41" i="2"/>
  <c r="HQ39" i="2"/>
  <c r="II19" i="2"/>
  <c r="IB29" i="2"/>
  <c r="IC29" i="2" s="1"/>
  <c r="HX45" i="2" l="1"/>
  <c r="HY45" i="2" s="1"/>
  <c r="HY43" i="2"/>
  <c r="HZ45" i="2"/>
  <c r="IA45" i="2" s="1"/>
  <c r="IA43" i="2"/>
  <c r="HQ41" i="2"/>
  <c r="HP47" i="2"/>
  <c r="HQ47" i="2" s="1"/>
  <c r="HP75" i="2"/>
  <c r="HP76" i="2"/>
  <c r="HS41" i="2"/>
  <c r="HR47" i="2"/>
  <c r="HS47" i="2" s="1"/>
  <c r="IJ20" i="2"/>
  <c r="FL182" i="2"/>
  <c r="FL184" i="2" s="1"/>
  <c r="FL27" i="2"/>
  <c r="HT45" i="2"/>
  <c r="HU45" i="2" s="1"/>
  <c r="HU43" i="2"/>
  <c r="FO192" i="2"/>
  <c r="FO193" i="2" s="1"/>
  <c r="FO191" i="2"/>
  <c r="HU41" i="2"/>
  <c r="HT47" i="2"/>
  <c r="HU47" i="2" s="1"/>
  <c r="IM17" i="2"/>
  <c r="HR43" i="2"/>
  <c r="IE27" i="2"/>
  <c r="ID37" i="2"/>
  <c r="ID29" i="2"/>
  <c r="IE29" i="2" s="1"/>
  <c r="FP189" i="2"/>
  <c r="FP190" i="2" s="1"/>
  <c r="FP12" i="2"/>
  <c r="FP156" i="2"/>
  <c r="HN43" i="2"/>
  <c r="HO39" i="2"/>
  <c r="HN41" i="2"/>
  <c r="GE87" i="2"/>
  <c r="GE89" i="2" s="1"/>
  <c r="GE90" i="2" s="1"/>
  <c r="GY34" i="2"/>
  <c r="FQ126" i="2"/>
  <c r="FR126" i="2" s="1"/>
  <c r="FS126" i="2" s="1"/>
  <c r="FR135" i="2"/>
  <c r="FS135" i="2" s="1"/>
  <c r="HP43" i="2"/>
  <c r="HA16" i="2"/>
  <c r="GZ15" i="2"/>
  <c r="HW41" i="2"/>
  <c r="HV47" i="2"/>
  <c r="HW47" i="2" s="1"/>
  <c r="FQ100" i="2"/>
  <c r="FR106" i="2"/>
  <c r="FS106" i="2" s="1"/>
  <c r="HA12" i="2" s="1"/>
  <c r="GE56" i="2"/>
  <c r="GE58" i="2" s="1"/>
  <c r="GE59" i="2" s="1"/>
  <c r="GU38" i="2"/>
  <c r="GU37" i="2" s="1"/>
  <c r="GU39" i="2" s="1"/>
  <c r="FM25" i="2"/>
  <c r="FP351" i="2"/>
  <c r="FP353" i="2" s="1"/>
  <c r="FP356" i="2" s="1"/>
  <c r="FP358" i="2" s="1"/>
  <c r="HY41" i="2"/>
  <c r="HX47" i="2"/>
  <c r="HY47" i="2" s="1"/>
  <c r="FN177" i="2"/>
  <c r="FO160" i="2"/>
  <c r="FO164" i="2" s="1"/>
  <c r="FO13" i="2"/>
  <c r="FO17" i="2" s="1"/>
  <c r="FO21" i="2" s="1"/>
  <c r="FQ207" i="2"/>
  <c r="FR275" i="2"/>
  <c r="FS273" i="2" s="1"/>
  <c r="FM179" i="2"/>
  <c r="GF105" i="2"/>
  <c r="GF106" i="2" s="1"/>
  <c r="GF110" i="2" s="1"/>
  <c r="GF114" i="2" s="1"/>
  <c r="GF74" i="2"/>
  <c r="GF75" i="2" s="1"/>
  <c r="GF79" i="2" s="1"/>
  <c r="GF83" i="2" s="1"/>
  <c r="GF43" i="2"/>
  <c r="GF44" i="2" s="1"/>
  <c r="GF48" i="2" s="1"/>
  <c r="GF52" i="2" s="1"/>
  <c r="GF12" i="2"/>
  <c r="GF13" i="2" s="1"/>
  <c r="GF17" i="2" s="1"/>
  <c r="GF21" i="2" s="1"/>
  <c r="IF27" i="2"/>
  <c r="IA41" i="2"/>
  <c r="HZ47" i="2"/>
  <c r="IA47" i="2" s="1"/>
  <c r="HW43" i="2"/>
  <c r="HV45" i="2"/>
  <c r="HW45" i="2" s="1"/>
  <c r="IC37" i="2"/>
  <c r="IB49" i="2"/>
  <c r="IC49" i="2" s="1"/>
  <c r="IB39" i="2"/>
  <c r="GE25" i="2"/>
  <c r="GE27" i="2" s="1"/>
  <c r="GE28" i="2" s="1"/>
  <c r="GE120" i="2"/>
  <c r="GE121" i="2" s="1"/>
  <c r="GE118" i="2"/>
  <c r="FR362" i="2"/>
  <c r="FR364" i="2" s="1"/>
  <c r="FS203" i="2"/>
  <c r="HN75" i="2"/>
  <c r="HN76" i="2" s="1"/>
  <c r="GV38" i="2" l="1"/>
  <c r="GV37" i="2" s="1"/>
  <c r="GV39" i="2" s="1"/>
  <c r="FN25" i="2"/>
  <c r="HP45" i="2"/>
  <c r="HQ45" i="2" s="1"/>
  <c r="HQ43" i="2"/>
  <c r="HO43" i="2"/>
  <c r="HN45" i="2"/>
  <c r="HO45" i="2" s="1"/>
  <c r="FR365" i="2"/>
  <c r="FR366" i="2" s="1"/>
  <c r="FR367" i="2" s="1"/>
  <c r="IG27" i="2"/>
  <c r="IF37" i="2"/>
  <c r="IF29" i="2"/>
  <c r="IG29" i="2" s="1"/>
  <c r="GF120" i="2"/>
  <c r="GF121" i="2" s="1"/>
  <c r="GF118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Y10" i="2" s="1"/>
  <c r="HA15" i="2"/>
  <c r="HO41" i="2"/>
  <c r="HN47" i="2"/>
  <c r="HO47" i="2" s="1"/>
  <c r="GG105" i="2"/>
  <c r="GG106" i="2" s="1"/>
  <c r="GG110" i="2" s="1"/>
  <c r="GG114" i="2" s="1"/>
  <c r="GG74" i="2"/>
  <c r="GG75" i="2" s="1"/>
  <c r="GG79" i="2" s="1"/>
  <c r="GG83" i="2" s="1"/>
  <c r="GG43" i="2"/>
  <c r="GG44" i="2" s="1"/>
  <c r="GG48" i="2" s="1"/>
  <c r="GG52" i="2" s="1"/>
  <c r="IH27" i="2"/>
  <c r="GG12" i="2"/>
  <c r="GG13" i="2" s="1"/>
  <c r="GG17" i="2" s="1"/>
  <c r="GG21" i="2" s="1"/>
  <c r="IB41" i="2"/>
  <c r="IC39" i="2"/>
  <c r="GF25" i="2"/>
  <c r="GF27" i="2" s="1"/>
  <c r="GF28" i="2" s="1"/>
  <c r="FM182" i="2"/>
  <c r="FM184" i="2" s="1"/>
  <c r="FM27" i="2"/>
  <c r="FO177" i="2"/>
  <c r="FO179" i="2" s="1"/>
  <c r="GY28" i="2"/>
  <c r="FQ32" i="2"/>
  <c r="FR100" i="2"/>
  <c r="FS100" i="2" s="1"/>
  <c r="GY33" i="2"/>
  <c r="GZ34" i="2"/>
  <c r="FP191" i="2"/>
  <c r="FP192" i="2" s="1"/>
  <c r="FP193" i="2" s="1"/>
  <c r="IE37" i="2"/>
  <c r="ID49" i="2"/>
  <c r="IE49" i="2" s="1"/>
  <c r="ID39" i="2"/>
  <c r="GF56" i="2"/>
  <c r="GF58" i="2" s="1"/>
  <c r="GF59" i="2" s="1"/>
  <c r="GF89" i="2"/>
  <c r="GF90" i="2" s="1"/>
  <c r="GF87" i="2"/>
  <c r="FQ363" i="2"/>
  <c r="FQ364" i="2" s="1"/>
  <c r="FQ331" i="2"/>
  <c r="FQ335" i="2" s="1"/>
  <c r="FQ339" i="2" s="1"/>
  <c r="FN179" i="2"/>
  <c r="FP160" i="2"/>
  <c r="FP164" i="2" s="1"/>
  <c r="FP13" i="2"/>
  <c r="FP17" i="2" s="1"/>
  <c r="FP21" i="2" s="1"/>
  <c r="HR45" i="2"/>
  <c r="HS45" i="2" s="1"/>
  <c r="HS43" i="2"/>
  <c r="IJ19" i="2"/>
  <c r="IK20" i="2"/>
  <c r="IL20" i="2"/>
  <c r="IM20" i="2" s="1"/>
  <c r="HR73" i="2"/>
  <c r="HR74" i="2" s="1"/>
  <c r="FO182" i="2" l="1"/>
  <c r="FO184" i="2" s="1"/>
  <c r="FO27" i="2"/>
  <c r="FQ351" i="2"/>
  <c r="FQ353" i="2" s="1"/>
  <c r="FQ356" i="2" s="1"/>
  <c r="FQ358" i="2" s="1"/>
  <c r="GG89" i="2"/>
  <c r="GG90" i="2" s="1"/>
  <c r="GG87" i="2"/>
  <c r="GW10" i="2"/>
  <c r="GW28" i="2"/>
  <c r="GO10" i="2"/>
  <c r="GO40" i="2" s="1"/>
  <c r="GO28" i="2"/>
  <c r="IK19" i="2"/>
  <c r="IL19" i="2"/>
  <c r="FQ371" i="2"/>
  <c r="FQ366" i="2"/>
  <c r="FQ367" i="2" s="1"/>
  <c r="FQ365" i="2"/>
  <c r="GG25" i="2"/>
  <c r="GG27" i="2" s="1"/>
  <c r="GG28" i="2" s="1"/>
  <c r="GG120" i="2"/>
  <c r="GG121" i="2" s="1"/>
  <c r="GG118" i="2"/>
  <c r="GV10" i="2"/>
  <c r="GV40" i="2" s="1"/>
  <c r="GV28" i="2"/>
  <c r="GR10" i="2"/>
  <c r="GR40" i="2" s="1"/>
  <c r="GR28" i="2"/>
  <c r="GZ12" i="2"/>
  <c r="GN10" i="2"/>
  <c r="GN40" i="2" s="1"/>
  <c r="GN28" i="2"/>
  <c r="GZ28" i="2" s="1"/>
  <c r="GW38" i="2"/>
  <c r="GW37" i="2" s="1"/>
  <c r="GW39" i="2" s="1"/>
  <c r="FO25" i="2"/>
  <c r="IC41" i="2"/>
  <c r="IB47" i="2"/>
  <c r="IC47" i="2" s="1"/>
  <c r="GS10" i="2"/>
  <c r="GS40" i="2" s="1"/>
  <c r="GS28" i="2"/>
  <c r="HR75" i="2"/>
  <c r="HR76" i="2" s="1"/>
  <c r="FP177" i="2"/>
  <c r="IE39" i="2"/>
  <c r="ID41" i="2"/>
  <c r="ID43" i="2" s="1"/>
  <c r="FQ189" i="2"/>
  <c r="FQ190" i="2" s="1"/>
  <c r="FQ12" i="2"/>
  <c r="FQ156" i="2"/>
  <c r="II27" i="2"/>
  <c r="IH37" i="2"/>
  <c r="IH29" i="2"/>
  <c r="II29" i="2" s="1"/>
  <c r="GU10" i="2"/>
  <c r="GU40" i="2" s="1"/>
  <c r="GU28" i="2"/>
  <c r="GQ10" i="2"/>
  <c r="GQ40" i="2" s="1"/>
  <c r="GQ28" i="2"/>
  <c r="IG37" i="2"/>
  <c r="IF49" i="2"/>
  <c r="IG49" i="2" s="1"/>
  <c r="IF39" i="2"/>
  <c r="FN182" i="2"/>
  <c r="FN184" i="2" s="1"/>
  <c r="FN27" i="2"/>
  <c r="GZ33" i="2"/>
  <c r="HA34" i="2"/>
  <c r="IB43" i="2"/>
  <c r="GG58" i="2"/>
  <c r="GG59" i="2" s="1"/>
  <c r="GG56" i="2"/>
  <c r="GX10" i="2"/>
  <c r="GX28" i="2"/>
  <c r="GT10" i="2"/>
  <c r="GT40" i="2" s="1"/>
  <c r="GT28" i="2"/>
  <c r="GP10" i="2"/>
  <c r="GP40" i="2" s="1"/>
  <c r="GP28" i="2"/>
  <c r="GH105" i="2" l="1"/>
  <c r="GH106" i="2" s="1"/>
  <c r="GH110" i="2" s="1"/>
  <c r="GH114" i="2" s="1"/>
  <c r="GH74" i="2"/>
  <c r="GH75" i="2" s="1"/>
  <c r="GH79" i="2" s="1"/>
  <c r="GH83" i="2" s="1"/>
  <c r="GH43" i="2"/>
  <c r="GH44" i="2" s="1"/>
  <c r="GH48" i="2" s="1"/>
  <c r="GH52" i="2" s="1"/>
  <c r="IJ27" i="2"/>
  <c r="GH12" i="2"/>
  <c r="GH13" i="2" s="1"/>
  <c r="GH17" i="2" s="1"/>
  <c r="GH21" i="2" s="1"/>
  <c r="HB28" i="2"/>
  <c r="HA28" i="2"/>
  <c r="IB45" i="2"/>
  <c r="IC45" i="2" s="1"/>
  <c r="IC43" i="2"/>
  <c r="II37" i="2"/>
  <c r="IH49" i="2"/>
  <c r="II49" i="2" s="1"/>
  <c r="IH39" i="2"/>
  <c r="FQ191" i="2"/>
  <c r="FQ192" i="2" s="1"/>
  <c r="FQ193" i="2" s="1"/>
  <c r="GX38" i="2"/>
  <c r="GX37" i="2" s="1"/>
  <c r="GX39" i="2" s="1"/>
  <c r="FP25" i="2"/>
  <c r="GW40" i="2"/>
  <c r="IE43" i="2"/>
  <c r="ID45" i="2"/>
  <c r="IE45" i="2" s="1"/>
  <c r="GX40" i="2"/>
  <c r="IF41" i="2"/>
  <c r="IF43" i="2" s="1"/>
  <c r="IG39" i="2"/>
  <c r="IE41" i="2"/>
  <c r="ID47" i="2"/>
  <c r="IE47" i="2" s="1"/>
  <c r="FP179" i="2"/>
  <c r="HB19" i="2"/>
  <c r="HC19" i="2" s="1"/>
  <c r="GZ10" i="2"/>
  <c r="IM19" i="2"/>
  <c r="HA33" i="2"/>
  <c r="GZ39" i="2"/>
  <c r="HA39" i="2" s="1"/>
  <c r="FQ160" i="2"/>
  <c r="FQ164" i="2" s="1"/>
  <c r="FQ13" i="2"/>
  <c r="FQ17" i="2" s="1"/>
  <c r="FQ21" i="2" s="1"/>
  <c r="IF45" i="2" l="1"/>
  <c r="IG45" i="2" s="1"/>
  <c r="IG43" i="2"/>
  <c r="HA10" i="2"/>
  <c r="GZ40" i="2"/>
  <c r="HA40" i="2" s="1"/>
  <c r="GH56" i="2"/>
  <c r="GH58" i="2" s="1"/>
  <c r="GH59" i="2" s="1"/>
  <c r="FQ177" i="2"/>
  <c r="FP182" i="2"/>
  <c r="FP184" i="2" s="1"/>
  <c r="FP27" i="2"/>
  <c r="GH87" i="2"/>
  <c r="GH89" i="2" s="1"/>
  <c r="GH90" i="2" s="1"/>
  <c r="II39" i="2"/>
  <c r="IH41" i="2"/>
  <c r="IH43" i="2" s="1"/>
  <c r="IK27" i="2"/>
  <c r="IJ37" i="2"/>
  <c r="IL27" i="2"/>
  <c r="IJ29" i="2"/>
  <c r="IK29" i="2" s="1"/>
  <c r="IG41" i="2"/>
  <c r="IF47" i="2"/>
  <c r="IG47" i="2" s="1"/>
  <c r="GH25" i="2"/>
  <c r="GH27" i="2" s="1"/>
  <c r="GH28" i="2" s="1"/>
  <c r="GH118" i="2"/>
  <c r="GH120" i="2" s="1"/>
  <c r="GH121" i="2" s="1"/>
  <c r="GY38" i="2" l="1"/>
  <c r="GY37" i="2" s="1"/>
  <c r="FQ25" i="2"/>
  <c r="IM27" i="2"/>
  <c r="IL37" i="2"/>
  <c r="IL29" i="2"/>
  <c r="IM29" i="2" s="1"/>
  <c r="IH45" i="2"/>
  <c r="II45" i="2" s="1"/>
  <c r="II43" i="2"/>
  <c r="II41" i="2"/>
  <c r="IH47" i="2"/>
  <c r="II47" i="2" s="1"/>
  <c r="FQ179" i="2"/>
  <c r="IK37" i="2"/>
  <c r="IJ49" i="2"/>
  <c r="IK49" i="2" s="1"/>
  <c r="IJ39" i="2"/>
  <c r="HT73" i="2"/>
  <c r="HT74" i="2" s="1"/>
  <c r="IM37" i="2" l="1"/>
  <c r="IL49" i="2"/>
  <c r="IM49" i="2" s="1"/>
  <c r="IL39" i="2"/>
  <c r="IJ41" i="2"/>
  <c r="IJ43" i="2"/>
  <c r="IK39" i="2"/>
  <c r="HT75" i="2"/>
  <c r="HT76" i="2" s="1"/>
  <c r="FQ182" i="2"/>
  <c r="FQ184" i="2" s="1"/>
  <c r="FQ27" i="2"/>
  <c r="GY39" i="2"/>
  <c r="GY40" i="2"/>
  <c r="IK41" i="2" l="1"/>
  <c r="IJ47" i="2"/>
  <c r="IK47" i="2" s="1"/>
  <c r="IM39" i="2"/>
  <c r="IL41" i="2"/>
  <c r="IJ45" i="2"/>
  <c r="IK45" i="2" s="1"/>
  <c r="IK43" i="2"/>
  <c r="IM41" i="2" l="1"/>
  <c r="IL47" i="2"/>
  <c r="IM47" i="2" s="1"/>
  <c r="IL43" i="2"/>
  <c r="IM43" i="2" l="1"/>
  <c r="IL45" i="2"/>
  <c r="IM45" i="2" s="1"/>
  <c r="Q14" i="2" l="1"/>
  <c r="Q15" i="2"/>
  <c r="D19" i="2"/>
  <c r="I47" i="2"/>
  <c r="D49" i="2"/>
  <c r="D51" i="2" s="1"/>
  <c r="D42" i="7" l="1"/>
  <c r="D55" i="7"/>
  <c r="E25" i="4"/>
  <c r="E34" i="4" s="1"/>
  <c r="E48" i="4" l="1"/>
  <c r="F48" i="4"/>
  <c r="G48" i="4"/>
  <c r="H48" i="4"/>
  <c r="I48" i="4"/>
  <c r="A58" i="5" l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70" i="5" s="1"/>
  <c r="A71" i="5" s="1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34" i="5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22" i="5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13" i="5"/>
  <c r="A14" i="5" s="1"/>
  <c r="A15" i="5" s="1"/>
  <c r="A16" i="5" s="1"/>
  <c r="A17" i="5" s="1"/>
  <c r="A18" i="5" s="1"/>
  <c r="A19" i="5" s="1"/>
  <c r="A20" i="5" s="1"/>
  <c r="B12" i="5"/>
  <c r="B24" i="5" s="1"/>
  <c r="B36" i="5" s="1"/>
  <c r="B48" i="5" s="1"/>
  <c r="B60" i="5" s="1"/>
  <c r="D12" i="2"/>
  <c r="D15" i="2"/>
  <c r="D14" i="2"/>
  <c r="D13" i="2"/>
  <c r="C4" i="5" l="1"/>
  <c r="C6" i="5" s="1"/>
  <c r="C3" i="5"/>
  <c r="C12" i="5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D11" i="5"/>
  <c r="C7" i="5" l="1"/>
  <c r="M71" i="4" l="1"/>
  <c r="M72" i="4" s="1"/>
  <c r="L12" i="1" l="1"/>
  <c r="E9" i="1"/>
  <c r="E7" i="1"/>
  <c r="L14" i="1"/>
  <c r="L5" i="1"/>
  <c r="L29" i="1"/>
  <c r="L27" i="1"/>
  <c r="L25" i="1"/>
  <c r="L23" i="1"/>
  <c r="L19" i="1"/>
  <c r="L21" i="1"/>
  <c r="E29" i="1"/>
  <c r="E27" i="1"/>
  <c r="E25" i="1"/>
  <c r="E23" i="1"/>
  <c r="E21" i="1"/>
  <c r="E19" i="1"/>
  <c r="E16" i="1"/>
  <c r="E14" i="1"/>
  <c r="E12" i="1"/>
  <c r="E5" i="1"/>
  <c r="B20" i="2"/>
  <c r="D44" i="2" l="1"/>
  <c r="D50" i="4"/>
  <c r="D80" i="4"/>
  <c r="D58" i="4"/>
  <c r="D76" i="4"/>
  <c r="D75" i="4"/>
  <c r="D74" i="4"/>
  <c r="D73" i="4"/>
  <c r="D72" i="4"/>
  <c r="D71" i="4"/>
  <c r="D70" i="4"/>
  <c r="D69" i="4"/>
  <c r="D68" i="4"/>
  <c r="D67" i="4"/>
  <c r="D66" i="4"/>
  <c r="D65" i="4"/>
  <c r="D53" i="4"/>
  <c r="D52" i="4"/>
  <c r="D60" i="4"/>
  <c r="D61" i="4"/>
  <c r="D62" i="4"/>
  <c r="D84" i="4"/>
  <c r="J13" i="2" l="1"/>
  <c r="J31" i="2"/>
  <c r="J14" i="2" l="1"/>
  <c r="I13" i="2"/>
  <c r="J19" i="2"/>
  <c r="E80" i="4"/>
  <c r="E76" i="4"/>
  <c r="E62" i="4"/>
  <c r="E58" i="4"/>
  <c r="E53" i="4"/>
  <c r="J53" i="4" s="1"/>
  <c r="E52" i="4"/>
  <c r="J52" i="4" s="1"/>
  <c r="J18" i="4"/>
  <c r="J27" i="4" s="1"/>
  <c r="J36" i="4" s="1"/>
  <c r="I18" i="4"/>
  <c r="I27" i="4" s="1"/>
  <c r="I36" i="4" s="1"/>
  <c r="H18" i="4"/>
  <c r="H27" i="4" s="1"/>
  <c r="H36" i="4" s="1"/>
  <c r="G18" i="4"/>
  <c r="G27" i="4" s="1"/>
  <c r="G36" i="4" s="1"/>
  <c r="F18" i="4"/>
  <c r="F27" i="4" s="1"/>
  <c r="F36" i="4" s="1"/>
  <c r="D83" i="4"/>
  <c r="D82" i="4"/>
  <c r="D81" i="4"/>
  <c r="D79" i="4"/>
  <c r="D78" i="4"/>
  <c r="D77" i="4"/>
  <c r="D64" i="4"/>
  <c r="D63" i="4"/>
  <c r="D59" i="4"/>
  <c r="D57" i="4"/>
  <c r="D56" i="4"/>
  <c r="D55" i="4"/>
  <c r="D54" i="4"/>
  <c r="D51" i="4"/>
  <c r="C51" i="4"/>
  <c r="K13" i="2" l="1"/>
  <c r="I14" i="2"/>
  <c r="J15" i="2"/>
  <c r="F80" i="4"/>
  <c r="G80" i="4" s="1"/>
  <c r="H80" i="4" s="1"/>
  <c r="I80" i="4" s="1"/>
  <c r="F76" i="4"/>
  <c r="G76" i="4" s="1"/>
  <c r="H76" i="4" s="1"/>
  <c r="I76" i="4" s="1"/>
  <c r="C52" i="4"/>
  <c r="E71" i="4"/>
  <c r="K14" i="2" l="1"/>
  <c r="I15" i="2"/>
  <c r="J76" i="4"/>
  <c r="J80" i="4"/>
  <c r="F71" i="4"/>
  <c r="G71" i="4" s="1"/>
  <c r="H71" i="4" s="1"/>
  <c r="I71" i="4" s="1"/>
  <c r="C53" i="4"/>
  <c r="K15" i="2" l="1"/>
  <c r="J71" i="4"/>
  <c r="C55" i="4"/>
  <c r="C56" i="4" l="1"/>
  <c r="C57" i="4" l="1"/>
  <c r="C58" i="4" l="1"/>
  <c r="C60" i="4" l="1"/>
  <c r="C62" i="4" l="1"/>
  <c r="C61" i="4"/>
  <c r="C64" i="4" l="1"/>
  <c r="C65" i="4" l="1"/>
  <c r="C66" i="4"/>
  <c r="C67" i="4" l="1"/>
  <c r="C68" i="4" l="1"/>
  <c r="C69" i="4" l="1"/>
  <c r="C70" i="4" l="1"/>
  <c r="C71" i="4" l="1"/>
  <c r="C72" i="4" l="1"/>
  <c r="E74" i="4"/>
  <c r="E57" i="4"/>
  <c r="F74" i="4" l="1"/>
  <c r="G74" i="4" s="1"/>
  <c r="H74" i="4" s="1"/>
  <c r="I74" i="4" s="1"/>
  <c r="C73" i="4"/>
  <c r="E75" i="4"/>
  <c r="B13" i="5"/>
  <c r="B25" i="5" l="1"/>
  <c r="J74" i="4"/>
  <c r="F75" i="4"/>
  <c r="C74" i="4"/>
  <c r="B14" i="5"/>
  <c r="B37" i="5" l="1"/>
  <c r="B26" i="5"/>
  <c r="G75" i="4"/>
  <c r="C75" i="4"/>
  <c r="B15" i="5"/>
  <c r="B27" i="5" l="1"/>
  <c r="B38" i="5"/>
  <c r="B49" i="5"/>
  <c r="H75" i="4"/>
  <c r="I75" i="4" s="1"/>
  <c r="C76" i="4"/>
  <c r="B16" i="5"/>
  <c r="B50" i="5" l="1"/>
  <c r="B28" i="5"/>
  <c r="B61" i="5"/>
  <c r="B39" i="5"/>
  <c r="J75" i="4"/>
  <c r="C78" i="4"/>
  <c r="B17" i="5"/>
  <c r="B29" i="5" l="1"/>
  <c r="B51" i="5"/>
  <c r="B40" i="5"/>
  <c r="B62" i="5"/>
  <c r="C79" i="4"/>
  <c r="B18" i="5"/>
  <c r="B63" i="5" l="1"/>
  <c r="B30" i="5"/>
  <c r="B52" i="5"/>
  <c r="B41" i="5"/>
  <c r="C82" i="4"/>
  <c r="C80" i="4"/>
  <c r="B19" i="5"/>
  <c r="B53" i="5" l="1"/>
  <c r="B42" i="5"/>
  <c r="B31" i="5"/>
  <c r="B64" i="5"/>
  <c r="B20" i="5"/>
  <c r="B32" i="5" l="1"/>
  <c r="B54" i="5"/>
  <c r="B43" i="5"/>
  <c r="B65" i="5"/>
  <c r="B21" i="5"/>
  <c r="B66" i="5" l="1"/>
  <c r="B33" i="5"/>
  <c r="B55" i="5"/>
  <c r="B44" i="5"/>
  <c r="B22" i="5"/>
  <c r="B34" i="5" l="1"/>
  <c r="B56" i="5"/>
  <c r="B45" i="5"/>
  <c r="B67" i="5"/>
  <c r="B23" i="5"/>
  <c r="B35" i="5" l="1"/>
  <c r="B68" i="5"/>
  <c r="B57" i="5"/>
  <c r="B46" i="5"/>
  <c r="J33" i="2"/>
  <c r="D23" i="2"/>
  <c r="D22" i="2"/>
  <c r="D21" i="2"/>
  <c r="D20" i="2"/>
  <c r="Q13" i="2"/>
  <c r="Q12" i="2"/>
  <c r="Q16" i="2" s="1"/>
  <c r="B58" i="5" l="1"/>
  <c r="B69" i="5"/>
  <c r="B47" i="5"/>
  <c r="E65" i="4"/>
  <c r="E66" i="4"/>
  <c r="Q18" i="2"/>
  <c r="J22" i="2" s="1"/>
  <c r="B59" i="5" l="1"/>
  <c r="B70" i="5"/>
  <c r="F66" i="4"/>
  <c r="G66" i="4" s="1"/>
  <c r="H66" i="4" s="1"/>
  <c r="I66" i="4" s="1"/>
  <c r="F65" i="4"/>
  <c r="G65" i="4" s="1"/>
  <c r="H65" i="4" s="1"/>
  <c r="I65" i="4" s="1"/>
  <c r="J21" i="2"/>
  <c r="E73" i="4"/>
  <c r="E70" i="4"/>
  <c r="E67" i="4"/>
  <c r="E69" i="4"/>
  <c r="J30" i="2"/>
  <c r="J32" i="2" s="1"/>
  <c r="B71" i="5" l="1"/>
  <c r="J65" i="4"/>
  <c r="F69" i="4"/>
  <c r="G69" i="4" s="1"/>
  <c r="H69" i="4" s="1"/>
  <c r="I69" i="4" s="1"/>
  <c r="F73" i="4"/>
  <c r="G73" i="4" s="1"/>
  <c r="H73" i="4" s="1"/>
  <c r="I73" i="4" s="1"/>
  <c r="J66" i="4"/>
  <c r="F70" i="4"/>
  <c r="G70" i="4" s="1"/>
  <c r="H70" i="4" s="1"/>
  <c r="I70" i="4" s="1"/>
  <c r="F67" i="4"/>
  <c r="G67" i="4" l="1"/>
  <c r="D29" i="2"/>
  <c r="E29" i="2" s="1"/>
  <c r="F29" i="2" s="1"/>
  <c r="J73" i="4"/>
  <c r="J70" i="4"/>
  <c r="J69" i="4"/>
  <c r="E68" i="4"/>
  <c r="D24" i="2"/>
  <c r="E24" i="2" s="1"/>
  <c r="F24" i="2" s="1"/>
  <c r="D35" i="2"/>
  <c r="D34" i="2" s="1"/>
  <c r="E34" i="2" s="1"/>
  <c r="F34" i="2" s="1"/>
  <c r="D37" i="2" l="1"/>
  <c r="E37" i="2" s="1"/>
  <c r="H67" i="4"/>
  <c r="D31" i="2"/>
  <c r="E31" i="2" s="1"/>
  <c r="F31" i="2" s="1"/>
  <c r="D32" i="2"/>
  <c r="E32" i="2" s="1"/>
  <c r="F32" i="2" s="1"/>
  <c r="D30" i="2"/>
  <c r="E30" i="2" s="1"/>
  <c r="F30" i="2" s="1"/>
  <c r="D33" i="2"/>
  <c r="E33" i="2" s="1"/>
  <c r="F33" i="2" s="1"/>
  <c r="B29" i="2"/>
  <c r="D28" i="2"/>
  <c r="D25" i="2"/>
  <c r="D27" i="2"/>
  <c r="D26" i="2"/>
  <c r="B24" i="2"/>
  <c r="F68" i="4"/>
  <c r="G68" i="4" s="1"/>
  <c r="H68" i="4" s="1"/>
  <c r="I68" i="4" s="1"/>
  <c r="F37" i="2" l="1"/>
  <c r="B25" i="2"/>
  <c r="E25" i="2"/>
  <c r="F25" i="2" s="1"/>
  <c r="B28" i="2"/>
  <c r="E28" i="2"/>
  <c r="F28" i="2" s="1"/>
  <c r="B26" i="2"/>
  <c r="E26" i="2"/>
  <c r="F26" i="2" s="1"/>
  <c r="B27" i="2"/>
  <c r="E27" i="2"/>
  <c r="F27" i="2" s="1"/>
  <c r="D46" i="2"/>
  <c r="D52" i="2" s="1"/>
  <c r="I67" i="4"/>
  <c r="J26" i="2"/>
  <c r="J25" i="2"/>
  <c r="J35" i="2"/>
  <c r="D39" i="2"/>
  <c r="E39" i="2" s="1"/>
  <c r="F39" i="2" s="1"/>
  <c r="D40" i="2"/>
  <c r="E40" i="2" s="1"/>
  <c r="F40" i="2" s="1"/>
  <c r="D41" i="2"/>
  <c r="E41" i="2" s="1"/>
  <c r="F41" i="2" s="1"/>
  <c r="D38" i="2"/>
  <c r="E38" i="2" s="1"/>
  <c r="F38" i="2" s="1"/>
  <c r="J68" i="4"/>
  <c r="J34" i="2"/>
  <c r="J23" i="2"/>
  <c r="J24" i="2"/>
  <c r="D43" i="2"/>
  <c r="D42" i="2" s="1"/>
  <c r="D7" i="2" l="1"/>
  <c r="F85" i="7"/>
  <c r="G102" i="7" l="1"/>
  <c r="H102" i="7"/>
  <c r="F102" i="7"/>
  <c r="J20" i="2"/>
  <c r="D8" i="2"/>
  <c r="D11" i="2"/>
  <c r="G51" i="4"/>
  <c r="F86" i="7"/>
  <c r="F87" i="7" s="1"/>
  <c r="F94" i="7" l="1"/>
  <c r="G61" i="4"/>
  <c r="D9" i="2"/>
  <c r="P115" i="7"/>
  <c r="G50" i="4"/>
  <c r="H8" i="4" s="1"/>
  <c r="G17" i="7" s="1"/>
  <c r="G31" i="7" s="1"/>
  <c r="G45" i="7" s="1"/>
  <c r="C2" i="5" l="1"/>
  <c r="G11" i="5" s="1"/>
  <c r="F69" i="5" s="1"/>
  <c r="E6" i="4"/>
  <c r="D111" i="7"/>
  <c r="G85" i="7"/>
  <c r="F63" i="5" l="1"/>
  <c r="E7" i="4"/>
  <c r="E13" i="4" s="1"/>
  <c r="F30" i="5"/>
  <c r="F36" i="5"/>
  <c r="F35" i="5"/>
  <c r="F51" i="5"/>
  <c r="F64" i="5"/>
  <c r="F62" i="5"/>
  <c r="F60" i="5"/>
  <c r="F38" i="5"/>
  <c r="F66" i="5"/>
  <c r="F65" i="5"/>
  <c r="F61" i="5"/>
  <c r="F67" i="5"/>
  <c r="F32" i="5"/>
  <c r="F58" i="5"/>
  <c r="F57" i="5"/>
  <c r="F17" i="5"/>
  <c r="F46" i="5"/>
  <c r="F14" i="5"/>
  <c r="F18" i="5"/>
  <c r="F48" i="5"/>
  <c r="F26" i="5"/>
  <c r="F31" i="5"/>
  <c r="F25" i="5"/>
  <c r="F19" i="5"/>
  <c r="F54" i="5"/>
  <c r="F23" i="5"/>
  <c r="E12" i="5"/>
  <c r="F52" i="5"/>
  <c r="F34" i="5"/>
  <c r="F39" i="5"/>
  <c r="F41" i="5"/>
  <c r="F55" i="5"/>
  <c r="F20" i="5"/>
  <c r="F29" i="5"/>
  <c r="F45" i="5"/>
  <c r="F16" i="5"/>
  <c r="F24" i="5"/>
  <c r="F40" i="5"/>
  <c r="F56" i="5"/>
  <c r="F70" i="5"/>
  <c r="F42" i="5"/>
  <c r="F21" i="5"/>
  <c r="F43" i="5"/>
  <c r="F59" i="5"/>
  <c r="F22" i="5"/>
  <c r="F33" i="5"/>
  <c r="F49" i="5"/>
  <c r="F68" i="5"/>
  <c r="F28" i="5"/>
  <c r="F44" i="5"/>
  <c r="F12" i="5"/>
  <c r="D12" i="5" s="1"/>
  <c r="F13" i="5"/>
  <c r="F50" i="5"/>
  <c r="F27" i="5"/>
  <c r="F47" i="5"/>
  <c r="F71" i="5"/>
  <c r="F15" i="5"/>
  <c r="F37" i="5"/>
  <c r="F53" i="5"/>
  <c r="D102" i="7"/>
  <c r="P114" i="7"/>
  <c r="H51" i="4"/>
  <c r="H85" i="7"/>
  <c r="G86" i="7"/>
  <c r="G87" i="7" s="1"/>
  <c r="FW112" i="2" l="1"/>
  <c r="D35" i="7"/>
  <c r="D36" i="7" s="1"/>
  <c r="D37" i="7" s="1"/>
  <c r="P116" i="7"/>
  <c r="P118" i="7" s="1"/>
  <c r="E12" i="4"/>
  <c r="E28" i="4"/>
  <c r="J67" i="4"/>
  <c r="E14" i="4"/>
  <c r="E102" i="7"/>
  <c r="G12" i="5"/>
  <c r="H50" i="4"/>
  <c r="I8" i="4" s="1"/>
  <c r="H17" i="7" s="1"/>
  <c r="H31" i="7" s="1"/>
  <c r="H45" i="7" s="1"/>
  <c r="I51" i="4"/>
  <c r="F88" i="7"/>
  <c r="F89" i="7" s="1"/>
  <c r="H88" i="7"/>
  <c r="G88" i="7"/>
  <c r="G89" i="7" s="1"/>
  <c r="FW114" i="2" l="1"/>
  <c r="D49" i="7"/>
  <c r="D50" i="7" s="1"/>
  <c r="D51" i="7" s="1"/>
  <c r="D21" i="7"/>
  <c r="D22" i="7" s="1"/>
  <c r="E19" i="4"/>
  <c r="E37" i="4"/>
  <c r="I102" i="7"/>
  <c r="H86" i="7"/>
  <c r="H87" i="7" s="1"/>
  <c r="H89" i="7" s="1"/>
  <c r="G94" i="7"/>
  <c r="H61" i="4"/>
  <c r="E13" i="5"/>
  <c r="I55" i="4"/>
  <c r="H55" i="4"/>
  <c r="G55" i="4"/>
  <c r="I50" i="4"/>
  <c r="J8" i="4" s="1"/>
  <c r="I17" i="7" s="1"/>
  <c r="I31" i="7" s="1"/>
  <c r="I45" i="7" s="1"/>
  <c r="FW120" i="2" l="1"/>
  <c r="GI114" i="2"/>
  <c r="FW118" i="2"/>
  <c r="GI118" i="2" s="1"/>
  <c r="GJ118" i="2" s="1"/>
  <c r="D13" i="5"/>
  <c r="H94" i="7"/>
  <c r="I61" i="4"/>
  <c r="GJ114" i="2" l="1"/>
  <c r="GI121" i="2"/>
  <c r="FX112" i="2"/>
  <c r="GI120" i="2"/>
  <c r="GJ120" i="2" s="1"/>
  <c r="FW121" i="2"/>
  <c r="G13" i="5"/>
  <c r="E14" i="5" s="1"/>
  <c r="FX114" i="2" l="1"/>
  <c r="D14" i="5"/>
  <c r="D86" i="7"/>
  <c r="E86" i="7"/>
  <c r="E88" i="7"/>
  <c r="E85" i="7"/>
  <c r="FY112" i="2" l="1"/>
  <c r="FX118" i="2"/>
  <c r="FX120" i="2" s="1"/>
  <c r="FX121" i="2" s="1"/>
  <c r="D85" i="7"/>
  <c r="I85" i="7" s="1"/>
  <c r="G14" i="5"/>
  <c r="E87" i="7"/>
  <c r="F55" i="4"/>
  <c r="F51" i="4"/>
  <c r="D88" i="7"/>
  <c r="E51" i="4"/>
  <c r="I86" i="7"/>
  <c r="FY114" i="2" l="1"/>
  <c r="D87" i="7"/>
  <c r="D89" i="7" s="1"/>
  <c r="E15" i="5"/>
  <c r="I88" i="7"/>
  <c r="J88" i="7" s="1"/>
  <c r="J86" i="7"/>
  <c r="E89" i="7"/>
  <c r="J85" i="7"/>
  <c r="J102" i="7"/>
  <c r="E50" i="4"/>
  <c r="F8" i="4" s="1"/>
  <c r="F50" i="4"/>
  <c r="G8" i="4" s="1"/>
  <c r="F17" i="7" s="1"/>
  <c r="F31" i="7" s="1"/>
  <c r="F45" i="7" s="1"/>
  <c r="J51" i="4"/>
  <c r="F58" i="4"/>
  <c r="E55" i="4"/>
  <c r="FY120" i="2" l="1"/>
  <c r="FY121" i="2" s="1"/>
  <c r="FY118" i="2"/>
  <c r="D15" i="5"/>
  <c r="E17" i="7"/>
  <c r="E31" i="7" s="1"/>
  <c r="E94" i="7"/>
  <c r="F61" i="4"/>
  <c r="K8" i="4"/>
  <c r="L8" i="4" s="1"/>
  <c r="I87" i="7"/>
  <c r="J87" i="7" s="1"/>
  <c r="I89" i="7"/>
  <c r="J89" i="7" s="1"/>
  <c r="G57" i="4"/>
  <c r="H57" i="4"/>
  <c r="I57" i="4"/>
  <c r="G62" i="4"/>
  <c r="H62" i="4"/>
  <c r="I62" i="4"/>
  <c r="G58" i="4"/>
  <c r="H58" i="4"/>
  <c r="I58" i="4"/>
  <c r="F62" i="4"/>
  <c r="F57" i="4"/>
  <c r="J55" i="4"/>
  <c r="J50" i="4"/>
  <c r="FZ112" i="2" l="1"/>
  <c r="J17" i="7"/>
  <c r="J31" i="7"/>
  <c r="E45" i="7"/>
  <c r="J45" i="7" s="1"/>
  <c r="G15" i="5"/>
  <c r="J62" i="4"/>
  <c r="K62" i="4" s="1"/>
  <c r="J57" i="4"/>
  <c r="K57" i="4" s="1"/>
  <c r="J58" i="4"/>
  <c r="K58" i="4" s="1"/>
  <c r="K55" i="4"/>
  <c r="K51" i="4"/>
  <c r="K70" i="4"/>
  <c r="K74" i="4"/>
  <c r="K53" i="4"/>
  <c r="K52" i="4"/>
  <c r="K68" i="4"/>
  <c r="K50" i="4"/>
  <c r="K76" i="4"/>
  <c r="K65" i="4"/>
  <c r="K67" i="4"/>
  <c r="K69" i="4"/>
  <c r="K66" i="4"/>
  <c r="K73" i="4"/>
  <c r="K75" i="4"/>
  <c r="K80" i="4"/>
  <c r="K71" i="4"/>
  <c r="FZ114" i="2" l="1"/>
  <c r="GI112" i="2"/>
  <c r="GJ112" i="2" s="1"/>
  <c r="E60" i="4"/>
  <c r="E16" i="5"/>
  <c r="E78" i="4"/>
  <c r="F78" i="4" s="1"/>
  <c r="G78" i="4" s="1"/>
  <c r="H78" i="4" s="1"/>
  <c r="I78" i="4" s="1"/>
  <c r="J78" i="4" s="1"/>
  <c r="K78" i="4" s="1"/>
  <c r="FZ118" i="2" l="1"/>
  <c r="FZ120" i="2" s="1"/>
  <c r="FZ121" i="2" s="1"/>
  <c r="D16" i="5"/>
  <c r="F60" i="4"/>
  <c r="G60" i="4"/>
  <c r="H60" i="4"/>
  <c r="I60" i="4"/>
  <c r="G56" i="4"/>
  <c r="G54" i="4" s="1"/>
  <c r="H9" i="4" s="1"/>
  <c r="G18" i="7" s="1"/>
  <c r="G32" i="7" s="1"/>
  <c r="H56" i="4"/>
  <c r="H54" i="4" s="1"/>
  <c r="I9" i="4" s="1"/>
  <c r="H18" i="7" s="1"/>
  <c r="H32" i="7" s="1"/>
  <c r="I56" i="4"/>
  <c r="I54" i="4" s="1"/>
  <c r="J9" i="4" s="1"/>
  <c r="I18" i="7" s="1"/>
  <c r="I32" i="7" s="1"/>
  <c r="F56" i="4"/>
  <c r="F54" i="4" s="1"/>
  <c r="G9" i="4" s="1"/>
  <c r="F18" i="7" s="1"/>
  <c r="F32" i="7" s="1"/>
  <c r="G16" i="5" l="1"/>
  <c r="E17" i="5" s="1"/>
  <c r="J60" i="4"/>
  <c r="K60" i="4" s="1"/>
  <c r="D94" i="7"/>
  <c r="I94" i="7" s="1"/>
  <c r="J94" i="7" s="1"/>
  <c r="E61" i="4"/>
  <c r="E6" i="7" s="1"/>
  <c r="E46" i="7" s="1"/>
  <c r="D17" i="5" l="1"/>
  <c r="E59" i="4"/>
  <c r="G17" i="5" l="1"/>
  <c r="E18" i="5" s="1"/>
  <c r="G6" i="7"/>
  <c r="G46" i="7" s="1"/>
  <c r="H6" i="7"/>
  <c r="H46" i="7" s="1"/>
  <c r="I6" i="7"/>
  <c r="I46" i="7" s="1"/>
  <c r="F6" i="7"/>
  <c r="F46" i="7" s="1"/>
  <c r="D18" i="5" l="1"/>
  <c r="J46" i="7"/>
  <c r="I9" i="7"/>
  <c r="F9" i="7"/>
  <c r="J6" i="7"/>
  <c r="K6" i="7" s="1"/>
  <c r="I59" i="4"/>
  <c r="H59" i="4"/>
  <c r="G59" i="4"/>
  <c r="F59" i="4"/>
  <c r="J61" i="4"/>
  <c r="K61" i="4" s="1"/>
  <c r="G18" i="5" l="1"/>
  <c r="E19" i="5" s="1"/>
  <c r="J59" i="4"/>
  <c r="K59" i="4" s="1"/>
  <c r="G9" i="7"/>
  <c r="H9" i="7"/>
  <c r="D19" i="5" l="1"/>
  <c r="G19" i="5" l="1"/>
  <c r="E20" i="5" s="1"/>
  <c r="D20" i="5" l="1"/>
  <c r="G20" i="5" l="1"/>
  <c r="E21" i="5" s="1"/>
  <c r="D21" i="5" l="1"/>
  <c r="G21" i="5" l="1"/>
  <c r="E22" i="5" s="1"/>
  <c r="D22" i="5" l="1"/>
  <c r="E56" i="4"/>
  <c r="E72" i="4"/>
  <c r="G22" i="5" l="1"/>
  <c r="F72" i="4"/>
  <c r="E54" i="4"/>
  <c r="J56" i="4"/>
  <c r="K56" i="4" s="1"/>
  <c r="E23" i="5" l="1"/>
  <c r="E112" i="7" s="1"/>
  <c r="J54" i="4"/>
  <c r="K54" i="4" s="1"/>
  <c r="F9" i="4"/>
  <c r="G72" i="4"/>
  <c r="E7" i="7" l="1"/>
  <c r="D23" i="5"/>
  <c r="E111" i="7" s="1"/>
  <c r="E18" i="7"/>
  <c r="K9" i="4"/>
  <c r="L9" i="4" s="1"/>
  <c r="H72" i="4"/>
  <c r="E47" i="7" l="1"/>
  <c r="E8" i="7"/>
  <c r="E11" i="7" s="1"/>
  <c r="E48" i="7"/>
  <c r="G23" i="5"/>
  <c r="J18" i="7"/>
  <c r="E32" i="7"/>
  <c r="J32" i="7" s="1"/>
  <c r="I72" i="4"/>
  <c r="E24" i="5" l="1"/>
  <c r="E10" i="7"/>
  <c r="F14" i="4"/>
  <c r="D24" i="5" l="1"/>
  <c r="F37" i="4"/>
  <c r="E51" i="7" s="1"/>
  <c r="E50" i="7"/>
  <c r="G24" i="5" l="1"/>
  <c r="E25" i="5" l="1"/>
  <c r="D25" i="5" l="1"/>
  <c r="G25" i="5" l="1"/>
  <c r="J72" i="4"/>
  <c r="K72" i="4" s="1"/>
  <c r="E26" i="5" l="1"/>
  <c r="D26" i="5" l="1"/>
  <c r="G26" i="5" l="1"/>
  <c r="E27" i="5" l="1"/>
  <c r="G7" i="4"/>
  <c r="H7" i="4"/>
  <c r="I7" i="4"/>
  <c r="J7" i="4"/>
  <c r="D27" i="5" l="1"/>
  <c r="G27" i="5" l="1"/>
  <c r="E28" i="5" l="1"/>
  <c r="D98" i="7"/>
  <c r="E98" i="7"/>
  <c r="F98" i="7"/>
  <c r="E79" i="4"/>
  <c r="F79" i="4" s="1"/>
  <c r="D28" i="5" l="1"/>
  <c r="G79" i="4"/>
  <c r="F77" i="4"/>
  <c r="E77" i="4"/>
  <c r="F7" i="4"/>
  <c r="G28" i="5" l="1"/>
  <c r="E29" i="5" s="1"/>
  <c r="H79" i="4"/>
  <c r="G77" i="4"/>
  <c r="G98" i="7"/>
  <c r="H98" i="7"/>
  <c r="D29" i="5" l="1"/>
  <c r="I79" i="4"/>
  <c r="I77" i="4" s="1"/>
  <c r="H77" i="4"/>
  <c r="G29" i="5" l="1"/>
  <c r="E30" i="5" s="1"/>
  <c r="J79" i="4"/>
  <c r="K79" i="4" s="1"/>
  <c r="J77" i="4"/>
  <c r="K77" i="4" s="1"/>
  <c r="D30" i="5" l="1"/>
  <c r="G30" i="5" l="1"/>
  <c r="E31" i="5" s="1"/>
  <c r="D31" i="5" l="1"/>
  <c r="G31" i="5" l="1"/>
  <c r="E32" i="5" s="1"/>
  <c r="D32" i="5" l="1"/>
  <c r="I98" i="7"/>
  <c r="J98" i="7" s="1"/>
  <c r="G32" i="5" l="1"/>
  <c r="E33" i="5" s="1"/>
  <c r="E113" i="7"/>
  <c r="E13" i="7"/>
  <c r="D33" i="5" l="1"/>
  <c r="G33" i="5" l="1"/>
  <c r="E34" i="5" s="1"/>
  <c r="D34" i="5" l="1"/>
  <c r="G34" i="5" l="1"/>
  <c r="E35" i="5" l="1"/>
  <c r="F112" i="7" l="1"/>
  <c r="F7" i="7" s="1"/>
  <c r="D35" i="5"/>
  <c r="F111" i="7" l="1"/>
  <c r="G35" i="5"/>
  <c r="F47" i="7"/>
  <c r="F8" i="7"/>
  <c r="F11" i="7" s="1"/>
  <c r="E36" i="5" l="1"/>
  <c r="G14" i="4"/>
  <c r="F13" i="7"/>
  <c r="F10" i="7"/>
  <c r="F48" i="7"/>
  <c r="F113" i="7"/>
  <c r="G37" i="4" l="1"/>
  <c r="F51" i="7" s="1"/>
  <c r="F50" i="7"/>
  <c r="D36" i="5"/>
  <c r="G36" i="5" l="1"/>
  <c r="E64" i="4"/>
  <c r="E37" i="5" l="1"/>
  <c r="D91" i="7"/>
  <c r="E63" i="4"/>
  <c r="F64" i="4"/>
  <c r="D37" i="5" l="1"/>
  <c r="E39" i="7"/>
  <c r="F63" i="4"/>
  <c r="G64" i="4"/>
  <c r="H91" i="7"/>
  <c r="H92" i="7" s="1"/>
  <c r="H96" i="7" s="1"/>
  <c r="H100" i="7" s="1"/>
  <c r="F91" i="7"/>
  <c r="F92" i="7" s="1"/>
  <c r="F96" i="7" s="1"/>
  <c r="F100" i="7" s="1"/>
  <c r="D92" i="7"/>
  <c r="G91" i="7"/>
  <c r="G92" i="7" s="1"/>
  <c r="G96" i="7" s="1"/>
  <c r="G100" i="7" s="1"/>
  <c r="E25" i="7"/>
  <c r="E91" i="7"/>
  <c r="E92" i="7" s="1"/>
  <c r="E96" i="7" s="1"/>
  <c r="E100" i="7" s="1"/>
  <c r="G37" i="5" l="1"/>
  <c r="I39" i="7"/>
  <c r="G39" i="7"/>
  <c r="F39" i="7"/>
  <c r="H39" i="7"/>
  <c r="F25" i="7"/>
  <c r="H25" i="7"/>
  <c r="G25" i="7"/>
  <c r="I92" i="7"/>
  <c r="J92" i="7" s="1"/>
  <c r="D96" i="7"/>
  <c r="G63" i="4"/>
  <c r="H64" i="4"/>
  <c r="I25" i="7"/>
  <c r="I91" i="7"/>
  <c r="J91" i="7" s="1"/>
  <c r="E38" i="5" l="1"/>
  <c r="J25" i="7"/>
  <c r="J39" i="7"/>
  <c r="D39" i="7" s="1"/>
  <c r="E82" i="4"/>
  <c r="H82" i="4"/>
  <c r="H63" i="4"/>
  <c r="I64" i="4"/>
  <c r="F82" i="4"/>
  <c r="I82" i="4"/>
  <c r="I96" i="7"/>
  <c r="J96" i="7" s="1"/>
  <c r="D100" i="7"/>
  <c r="G82" i="4"/>
  <c r="D104" i="7"/>
  <c r="D38" i="5" l="1"/>
  <c r="D25" i="7"/>
  <c r="D106" i="7"/>
  <c r="I100" i="7"/>
  <c r="J100" i="7" s="1"/>
  <c r="G104" i="7"/>
  <c r="G106" i="7" s="1"/>
  <c r="G107" i="7" s="1"/>
  <c r="E104" i="7"/>
  <c r="E106" i="7" s="1"/>
  <c r="E107" i="7" s="1"/>
  <c r="F11" i="4"/>
  <c r="E20" i="7" s="1"/>
  <c r="E34" i="7" s="1"/>
  <c r="F104" i="7"/>
  <c r="F106" i="7" s="1"/>
  <c r="F107" i="7" s="1"/>
  <c r="H104" i="7"/>
  <c r="H106" i="7" s="1"/>
  <c r="H107" i="7" s="1"/>
  <c r="I63" i="4"/>
  <c r="G38" i="5" l="1"/>
  <c r="I106" i="7"/>
  <c r="J106" i="7" s="1"/>
  <c r="D107" i="7"/>
  <c r="I104" i="7"/>
  <c r="J104" i="7" s="1"/>
  <c r="E81" i="4"/>
  <c r="G11" i="4"/>
  <c r="F20" i="7" s="1"/>
  <c r="F34" i="7" s="1"/>
  <c r="E39" i="5" l="1"/>
  <c r="F81" i="4"/>
  <c r="H11" i="4"/>
  <c r="G20" i="7" s="1"/>
  <c r="G34" i="7" s="1"/>
  <c r="E83" i="4"/>
  <c r="E84" i="4"/>
  <c r="D39" i="5" l="1"/>
  <c r="F10" i="4"/>
  <c r="F13" i="4" s="1"/>
  <c r="I11" i="4"/>
  <c r="H20" i="7" s="1"/>
  <c r="H34" i="7" s="1"/>
  <c r="G81" i="4"/>
  <c r="F83" i="4"/>
  <c r="G10" i="4" s="1"/>
  <c r="F84" i="4"/>
  <c r="G39" i="5" l="1"/>
  <c r="E36" i="7"/>
  <c r="F28" i="4"/>
  <c r="E37" i="7" s="1"/>
  <c r="F12" i="4"/>
  <c r="E19" i="7"/>
  <c r="E33" i="7" s="1"/>
  <c r="F19" i="7"/>
  <c r="F33" i="7" s="1"/>
  <c r="G13" i="4"/>
  <c r="G12" i="4"/>
  <c r="F22" i="7" s="1"/>
  <c r="G83" i="4"/>
  <c r="G84" i="4"/>
  <c r="H81" i="4"/>
  <c r="J11" i="4"/>
  <c r="I20" i="7" s="1"/>
  <c r="I34" i="7" s="1"/>
  <c r="E40" i="5" l="1"/>
  <c r="E22" i="7"/>
  <c r="G28" i="4"/>
  <c r="F37" i="7" s="1"/>
  <c r="F36" i="7"/>
  <c r="E85" i="4"/>
  <c r="F19" i="4"/>
  <c r="E23" i="7" s="1"/>
  <c r="F85" i="4"/>
  <c r="H10" i="4"/>
  <c r="H12" i="4" s="1"/>
  <c r="G85" i="4" s="1"/>
  <c r="G19" i="4"/>
  <c r="F23" i="7" s="1"/>
  <c r="J64" i="4"/>
  <c r="K64" i="4" s="1"/>
  <c r="I81" i="4"/>
  <c r="H83" i="4"/>
  <c r="I10" i="4" s="1"/>
  <c r="H84" i="4"/>
  <c r="D40" i="5" l="1"/>
  <c r="H19" i="7"/>
  <c r="H33" i="7" s="1"/>
  <c r="I13" i="4"/>
  <c r="G19" i="7"/>
  <c r="G33" i="7" s="1"/>
  <c r="H13" i="4"/>
  <c r="G22" i="7"/>
  <c r="H19" i="4"/>
  <c r="G23" i="7" s="1"/>
  <c r="I12" i="4"/>
  <c r="I83" i="4"/>
  <c r="I84" i="4"/>
  <c r="J63" i="4"/>
  <c r="G40" i="5" l="1"/>
  <c r="E41" i="5" s="1"/>
  <c r="H85" i="4"/>
  <c r="I28" i="4"/>
  <c r="H37" i="7" s="1"/>
  <c r="H36" i="7"/>
  <c r="G36" i="7"/>
  <c r="H28" i="4"/>
  <c r="G37" i="7" s="1"/>
  <c r="J10" i="4"/>
  <c r="J12" i="4" s="1"/>
  <c r="I22" i="7" s="1"/>
  <c r="H22" i="7"/>
  <c r="I19" i="4"/>
  <c r="H23" i="7" s="1"/>
  <c r="K63" i="4"/>
  <c r="D41" i="5" l="1"/>
  <c r="E21" i="4"/>
  <c r="E22" i="4"/>
  <c r="E20" i="4"/>
  <c r="I19" i="7"/>
  <c r="I33" i="7" s="1"/>
  <c r="J13" i="4"/>
  <c r="I85" i="4"/>
  <c r="J19" i="4"/>
  <c r="G41" i="5" l="1"/>
  <c r="E42" i="5" s="1"/>
  <c r="I36" i="7"/>
  <c r="E30" i="4"/>
  <c r="E29" i="4"/>
  <c r="E31" i="4"/>
  <c r="D41" i="7" s="1"/>
  <c r="J28" i="4"/>
  <c r="I37" i="7" s="1"/>
  <c r="I23" i="7"/>
  <c r="D42" i="5" l="1"/>
  <c r="K11" i="4"/>
  <c r="L11" i="4" s="1"/>
  <c r="J82" i="4"/>
  <c r="K82" i="4" s="1"/>
  <c r="G42" i="5" l="1"/>
  <c r="E43" i="5" s="1"/>
  <c r="J20" i="7"/>
  <c r="J34" i="7"/>
  <c r="J83" i="4"/>
  <c r="J81" i="4"/>
  <c r="D43" i="5" l="1"/>
  <c r="K83" i="4"/>
  <c r="K81" i="4"/>
  <c r="J84" i="4"/>
  <c r="K84" i="4" s="1"/>
  <c r="G43" i="5" l="1"/>
  <c r="E44" i="5" s="1"/>
  <c r="J36" i="7"/>
  <c r="K10" i="4"/>
  <c r="L10" i="4" s="1"/>
  <c r="D44" i="5" l="1"/>
  <c r="J19" i="7"/>
  <c r="J33" i="7"/>
  <c r="D40" i="7"/>
  <c r="J22" i="7"/>
  <c r="K13" i="4"/>
  <c r="L13" i="4" s="1"/>
  <c r="K12" i="4"/>
  <c r="L12" i="4" s="1"/>
  <c r="D26" i="7"/>
  <c r="G44" i="5" l="1"/>
  <c r="E45" i="5" s="1"/>
  <c r="K28" i="4"/>
  <c r="K19" i="4"/>
  <c r="K15" i="4"/>
  <c r="D45" i="5" l="1"/>
  <c r="G45" i="5" l="1"/>
  <c r="E46" i="5" s="1"/>
  <c r="D46" i="5" l="1"/>
  <c r="G46" i="5" l="1"/>
  <c r="E47" i="5" l="1"/>
  <c r="G112" i="7" l="1"/>
  <c r="G7" i="7" s="1"/>
  <c r="D47" i="5"/>
  <c r="G47" i="7" l="1"/>
  <c r="G8" i="7"/>
  <c r="G11" i="7" s="1"/>
  <c r="G111" i="7"/>
  <c r="G47" i="5"/>
  <c r="G48" i="7" l="1"/>
  <c r="G113" i="7"/>
  <c r="H14" i="4"/>
  <c r="G13" i="7"/>
  <c r="G10" i="7"/>
  <c r="E48" i="5"/>
  <c r="D48" i="5" l="1"/>
  <c r="G50" i="7"/>
  <c r="H37" i="4"/>
  <c r="G51" i="7" s="1"/>
  <c r="G48" i="5" l="1"/>
  <c r="E49" i="5" l="1"/>
  <c r="D49" i="5" l="1"/>
  <c r="G49" i="5" l="1"/>
  <c r="E50" i="5" l="1"/>
  <c r="D50" i="5" l="1"/>
  <c r="G50" i="5" l="1"/>
  <c r="E51" i="5" l="1"/>
  <c r="D51" i="5" l="1"/>
  <c r="G51" i="5" l="1"/>
  <c r="E52" i="5" l="1"/>
  <c r="D52" i="5" l="1"/>
  <c r="G52" i="5" l="1"/>
  <c r="E53" i="5" s="1"/>
  <c r="D53" i="5" l="1"/>
  <c r="G53" i="5" l="1"/>
  <c r="E54" i="5" s="1"/>
  <c r="D54" i="5" l="1"/>
  <c r="G54" i="5" l="1"/>
  <c r="E55" i="5" s="1"/>
  <c r="D55" i="5" l="1"/>
  <c r="G55" i="5" l="1"/>
  <c r="E56" i="5" s="1"/>
  <c r="D56" i="5" l="1"/>
  <c r="G56" i="5" l="1"/>
  <c r="E57" i="5" s="1"/>
  <c r="D57" i="5" l="1"/>
  <c r="G57" i="5" l="1"/>
  <c r="E58" i="5" s="1"/>
  <c r="D58" i="5" l="1"/>
  <c r="G58" i="5" l="1"/>
  <c r="E59" i="5" l="1"/>
  <c r="H112" i="7" l="1"/>
  <c r="D59" i="5"/>
  <c r="H7" i="7" l="1"/>
  <c r="H111" i="7"/>
  <c r="G59" i="5"/>
  <c r="E60" i="5" l="1"/>
  <c r="H47" i="7"/>
  <c r="H8" i="7"/>
  <c r="H11" i="7" s="1"/>
  <c r="H48" i="7"/>
  <c r="H113" i="7"/>
  <c r="D60" i="5" l="1"/>
  <c r="I14" i="4"/>
  <c r="H13" i="7"/>
  <c r="H10" i="7"/>
  <c r="G60" i="5" l="1"/>
  <c r="I37" i="4"/>
  <c r="H50" i="7"/>
  <c r="E61" i="5" l="1"/>
  <c r="H51" i="7"/>
  <c r="D61" i="5" l="1"/>
  <c r="G61" i="5" l="1"/>
  <c r="E62" i="5" l="1"/>
  <c r="D62" i="5" l="1"/>
  <c r="G62" i="5" l="1"/>
  <c r="E63" i="5" l="1"/>
  <c r="D63" i="5" l="1"/>
  <c r="G63" i="5" l="1"/>
  <c r="E64" i="5" l="1"/>
  <c r="D64" i="5" l="1"/>
  <c r="G64" i="5" l="1"/>
  <c r="E65" i="5" s="1"/>
  <c r="D65" i="5" l="1"/>
  <c r="G65" i="5" l="1"/>
  <c r="E66" i="5" s="1"/>
  <c r="D66" i="5" l="1"/>
  <c r="G66" i="5" l="1"/>
  <c r="E67" i="5" s="1"/>
  <c r="D67" i="5" l="1"/>
  <c r="G67" i="5" l="1"/>
  <c r="E68" i="5" s="1"/>
  <c r="D68" i="5" l="1"/>
  <c r="G68" i="5" l="1"/>
  <c r="E69" i="5" s="1"/>
  <c r="D69" i="5" s="1"/>
  <c r="G69" i="5" s="1"/>
  <c r="E70" i="5" s="1"/>
  <c r="D70" i="5" s="1"/>
  <c r="G70" i="5" s="1"/>
  <c r="E71" i="5" l="1"/>
  <c r="I112" i="7" l="1"/>
  <c r="D71" i="5"/>
  <c r="I111" i="7" s="1"/>
  <c r="G71" i="5" l="1"/>
  <c r="I7" i="7"/>
  <c r="J112" i="7"/>
  <c r="I47" i="7" l="1"/>
  <c r="J47" i="7" s="1"/>
  <c r="I8" i="7"/>
  <c r="I11" i="7" s="1"/>
  <c r="J11" i="7" s="1"/>
  <c r="J7" i="7"/>
  <c r="K7" i="7" s="1"/>
  <c r="I48" i="7"/>
  <c r="J48" i="7" s="1"/>
  <c r="I113" i="7"/>
  <c r="J111" i="7"/>
  <c r="I13" i="7" l="1"/>
  <c r="I10" i="7"/>
  <c r="J14" i="4"/>
  <c r="J8" i="7"/>
  <c r="P113" i="7"/>
  <c r="J113" i="7"/>
  <c r="D10" i="2" l="1"/>
  <c r="K8" i="7"/>
  <c r="I12" i="7"/>
  <c r="J10" i="7"/>
  <c r="E39" i="4"/>
  <c r="J37" i="4"/>
  <c r="I50" i="7"/>
  <c r="J50" i="7" s="1"/>
  <c r="K14" i="4"/>
  <c r="E40" i="4"/>
  <c r="D54" i="7" s="1"/>
  <c r="E14" i="7"/>
  <c r="E38" i="4"/>
  <c r="D53" i="7" s="1"/>
  <c r="P117" i="7"/>
  <c r="D6" i="2"/>
  <c r="I51" i="7" l="1"/>
  <c r="K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B8" authorId="0" shapeId="0" xr:uid="{8247CBA4-CABD-46FE-A4AF-64636670BC56}">
      <text>
        <r>
          <rPr>
            <b/>
            <sz val="9"/>
            <color indexed="81"/>
            <rFont val="Tahoma"/>
            <family val="2"/>
          </rPr>
          <t>Walter Reñasco:</t>
        </r>
        <r>
          <rPr>
            <sz val="9"/>
            <color indexed="81"/>
            <rFont val="Tahoma"/>
            <family val="2"/>
          </rPr>
          <t xml:space="preserve">
Impuesto a retener a Inversionista por Regalías e Intereses de Préstamo según la Ley.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A. Reñasco González</author>
  </authors>
  <commentList>
    <comment ref="AE20" authorId="0" shapeId="0" xr:uid="{9A8D9C0C-AB02-44EB-BB7F-C88AD3CD2134}">
      <text>
        <r>
          <rPr>
            <b/>
            <sz val="9"/>
            <color indexed="81"/>
            <rFont val="Tahoma"/>
            <family val="2"/>
          </rPr>
          <t>Walter A. Reñasco González:</t>
        </r>
        <r>
          <rPr>
            <sz val="9"/>
            <color indexed="81"/>
            <rFont val="Tahoma"/>
            <family val="2"/>
          </rPr>
          <t xml:space="preserve">
Afecta Flujo y EdR solamente para Año 1</t>
        </r>
      </text>
    </comment>
    <comment ref="AG20" authorId="0" shapeId="0" xr:uid="{893428A6-8D4C-48AD-9F5A-F63AC5D5E8F6}">
      <text>
        <r>
          <rPr>
            <b/>
            <sz val="9"/>
            <color indexed="81"/>
            <rFont val="Tahoma"/>
            <family val="2"/>
          </rPr>
          <t>Walter A. Reñasco González:</t>
        </r>
        <r>
          <rPr>
            <sz val="9"/>
            <color indexed="81"/>
            <rFont val="Tahoma"/>
            <family val="2"/>
          </rPr>
          <t xml:space="preserve">
Afecta Flujo y EdR a partir del Año 2</t>
        </r>
      </text>
    </comment>
  </commentList>
</comments>
</file>

<file path=xl/sharedStrings.xml><?xml version="1.0" encoding="utf-8"?>
<sst xmlns="http://schemas.openxmlformats.org/spreadsheetml/2006/main" count="1652" uniqueCount="860">
  <si>
    <t>Proyecto IFCO - C$</t>
  </si>
  <si>
    <t>Conceptos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</si>
  <si>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</si>
  <si>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</si>
  <si>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</si>
  <si>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</si>
  <si>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</si>
  <si>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</si>
  <si>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</si>
  <si>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</si>
  <si>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</si>
  <si>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</si>
  <si>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</si>
  <si>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</si>
  <si>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</t>
  </si>
  <si>
    <t xml:space="preserve">Ventas </t>
  </si>
  <si>
    <t>Descuentos</t>
  </si>
  <si>
    <t>Ventas netas</t>
  </si>
  <si>
    <t>Costo de ventas</t>
  </si>
  <si>
    <t>Utilidad bruta</t>
  </si>
  <si>
    <t xml:space="preserve">Gastos de Venta y Admninistración </t>
  </si>
  <si>
    <t>4-2-01-01-00-00</t>
  </si>
  <si>
    <t>SALARIOS Y PRESTACIONES</t>
  </si>
  <si>
    <t>4-2-01-01-01-00</t>
  </si>
  <si>
    <t>Salario ordinario</t>
  </si>
  <si>
    <t>4-2-01-01-02-00</t>
  </si>
  <si>
    <t>Horas extras</t>
  </si>
  <si>
    <t>4-2-01-01-03-00</t>
  </si>
  <si>
    <t>Comisiones por ventas</t>
  </si>
  <si>
    <t>4-2-01-01-04-00</t>
  </si>
  <si>
    <t>Incentivos</t>
  </si>
  <si>
    <t>4-2-01-01-05-00</t>
  </si>
  <si>
    <t>Bonificaciones</t>
  </si>
  <si>
    <t>4-2-01-01-06-00</t>
  </si>
  <si>
    <t>Deprec. Veh. Empleados</t>
  </si>
  <si>
    <t>4-2-01-01-07-00</t>
  </si>
  <si>
    <t>Viaticos de alimentación</t>
  </si>
  <si>
    <t>4-2-01-01-08-00</t>
  </si>
  <si>
    <t>Viaticos de transporte</t>
  </si>
  <si>
    <t>4-2-01-01-09-00</t>
  </si>
  <si>
    <t>Vacaciones</t>
  </si>
  <si>
    <t>4-2-01-01-10-00</t>
  </si>
  <si>
    <t>Aguinaldo</t>
  </si>
  <si>
    <t>4-2-01-01-11-00</t>
  </si>
  <si>
    <t>Indemnizacion</t>
  </si>
  <si>
    <t>4-2-01-01-12-00</t>
  </si>
  <si>
    <t>4-2-01-01-13-00</t>
  </si>
  <si>
    <t>4-2-01-01-14-00</t>
  </si>
  <si>
    <t>Uniformes al personal</t>
  </si>
  <si>
    <t>4-2-01-01-15-00</t>
  </si>
  <si>
    <t>Gastos medicos</t>
  </si>
  <si>
    <t>4-2-01-01-16-00</t>
  </si>
  <si>
    <t>Seguro colectivo de vida</t>
  </si>
  <si>
    <t>4-2-01-01-17-00</t>
  </si>
  <si>
    <t>Ayuda postmorten</t>
  </si>
  <si>
    <t>4-2-01-01-18-00</t>
  </si>
  <si>
    <t>Cafeteria</t>
  </si>
  <si>
    <t>4-2-01-01-19-00</t>
  </si>
  <si>
    <t>Aporte celebraciones</t>
  </si>
  <si>
    <t>4-2-01-02-00-00</t>
  </si>
  <si>
    <t>CAPACITACIONES</t>
  </si>
  <si>
    <t>4-2-01-02-01-00</t>
  </si>
  <si>
    <t>Capacitacion interna</t>
  </si>
  <si>
    <t>4-2-01-02-02-00</t>
  </si>
  <si>
    <t>Capacitacion externa</t>
  </si>
  <si>
    <t>4-2-01-03-00-00</t>
  </si>
  <si>
    <t>ASESORIA Y ASISTENCIA TECNICA</t>
  </si>
  <si>
    <t>4-2-01-03-01-00</t>
  </si>
  <si>
    <t>Honorarios abogados y administracion</t>
  </si>
  <si>
    <t>4-2-01-03-02-00</t>
  </si>
  <si>
    <t>Honorarios informática</t>
  </si>
  <si>
    <t>4-2-01-03-03-00</t>
  </si>
  <si>
    <t>Honorarios auditoria</t>
  </si>
  <si>
    <t>4-2-01-03-04-00</t>
  </si>
  <si>
    <t>Honorarios tecnicos</t>
  </si>
  <si>
    <t>4-2-01-03-05-00</t>
  </si>
  <si>
    <t>Honorarios contables</t>
  </si>
  <si>
    <t>4-2-01-03-06-00</t>
  </si>
  <si>
    <t>Otros honorarios</t>
  </si>
  <si>
    <t>4-2-01-04-00-00</t>
  </si>
  <si>
    <t>MANTENIMIENTO Y REPARACIONES</t>
  </si>
  <si>
    <t>4-2-01-04-01-00</t>
  </si>
  <si>
    <t>Mantto. Edificios arrendados</t>
  </si>
  <si>
    <t>4-2-01-04-02-00</t>
  </si>
  <si>
    <t>Mantto. Mobiliario y equipo de oficina</t>
  </si>
  <si>
    <t>4-2-01-04-03-00</t>
  </si>
  <si>
    <t>Mantto. Equipo de cómputo</t>
  </si>
  <si>
    <t>4-2-01-04-04-00</t>
  </si>
  <si>
    <t>Mantto. Herramientas</t>
  </si>
  <si>
    <t>4-2-01-04-05-00</t>
  </si>
  <si>
    <t>Mantto. Equipo rodante</t>
  </si>
  <si>
    <t>4-2-01-04-06-00</t>
  </si>
  <si>
    <t>Mantto. Equipo comunicacion</t>
  </si>
  <si>
    <t>4-2-01-04-07-00</t>
  </si>
  <si>
    <t>Mantto. Equipos de produccion.</t>
  </si>
  <si>
    <t>4-2-01-04-08-00</t>
  </si>
  <si>
    <t>4-2-01-04-09-00</t>
  </si>
  <si>
    <t>Mantto. Areas verdes y edificio</t>
  </si>
  <si>
    <t>4-2-01-04-10-00</t>
  </si>
  <si>
    <t>Mantto. Motor estacionario</t>
  </si>
  <si>
    <t>4-2-01-04-11-00</t>
  </si>
  <si>
    <t>Mantto. Maquinaria agricola</t>
  </si>
  <si>
    <t>4-2-01-04-12-00</t>
  </si>
  <si>
    <t>Mantto. Eqpo. Refrigeracion</t>
  </si>
  <si>
    <t>4-2-01-04-13-00</t>
  </si>
  <si>
    <t>Mantenimiento Eqpo. cocina</t>
  </si>
  <si>
    <t>4-2-01-04-14-00</t>
  </si>
  <si>
    <t>Mantto. Equipo diverso</t>
  </si>
  <si>
    <t>4-2-01-04-15-00</t>
  </si>
  <si>
    <t>4-2-01-04-16-00</t>
  </si>
  <si>
    <t>Mantto Aires Acondicionados</t>
  </si>
  <si>
    <t>4-2-01-05-00-00</t>
  </si>
  <si>
    <t>ARRENDAMIENTO</t>
  </si>
  <si>
    <t>4-2-01-05-01-00</t>
  </si>
  <si>
    <t>Arrendamiento Veh.</t>
  </si>
  <si>
    <t>4-2-01-05-02-00</t>
  </si>
  <si>
    <t>Arrendamiento edificios</t>
  </si>
  <si>
    <t>4-2-01-05-03-00</t>
  </si>
  <si>
    <t>4-2-01-06-00-00</t>
  </si>
  <si>
    <t>SERVICIOS BASICOS</t>
  </si>
  <si>
    <t>4-2-01-06-01-00</t>
  </si>
  <si>
    <t>Servicios energia electrica</t>
  </si>
  <si>
    <t>4-2-01-06-02-00</t>
  </si>
  <si>
    <t>Servicos telefonia fija</t>
  </si>
  <si>
    <t>4-2-01-06-03-00</t>
  </si>
  <si>
    <t>Servicios internet</t>
  </si>
  <si>
    <t>4-2-01-06-04-00</t>
  </si>
  <si>
    <t>Servicos agua potable</t>
  </si>
  <si>
    <t>4-2-01-06-05-00</t>
  </si>
  <si>
    <t>Agua purificada</t>
  </si>
  <si>
    <t>4-2-01-06-06-00</t>
  </si>
  <si>
    <t>Servicos agua en pipa</t>
  </si>
  <si>
    <t>4-2-01-06-07-00</t>
  </si>
  <si>
    <t>Servicios telefonia celular</t>
  </si>
  <si>
    <t>4-2-01-07-00-00</t>
  </si>
  <si>
    <t>SEGUROS</t>
  </si>
  <si>
    <t>4-2-01-07-01-00</t>
  </si>
  <si>
    <t>Seguro automovil</t>
  </si>
  <si>
    <t>4-2-01-07-02-00</t>
  </si>
  <si>
    <t>Seguro responsabilidad civil</t>
  </si>
  <si>
    <t>4-2-01-07-03-00</t>
  </si>
  <si>
    <t>Seguro incendio</t>
  </si>
  <si>
    <t>4-2-01-07-04-00</t>
  </si>
  <si>
    <t>Seguro accidentes personales colectivo</t>
  </si>
  <si>
    <t>4-2-01-07-05-00</t>
  </si>
  <si>
    <t>4-2-01-08-00-00</t>
  </si>
  <si>
    <t>COMBUSTIBLE Y LUBRICANTES</t>
  </si>
  <si>
    <t>4-2-01-08-01-00</t>
  </si>
  <si>
    <t>Combustible y lubricantes</t>
  </si>
  <si>
    <t>4-2-01-09-00-00</t>
  </si>
  <si>
    <t>SUMINISTROS</t>
  </si>
  <si>
    <t>4-2-01-09-01-00</t>
  </si>
  <si>
    <t>Papeleria y utiles de oficina</t>
  </si>
  <si>
    <t>4-2-01-09-02-00</t>
  </si>
  <si>
    <t>Accesorios para computadoras</t>
  </si>
  <si>
    <t>4-2-01-09-03-00</t>
  </si>
  <si>
    <t>Formularios impresos</t>
  </si>
  <si>
    <t>4-2-01-09-04-00</t>
  </si>
  <si>
    <t>Fotocopias</t>
  </si>
  <si>
    <t>4-2-01-09-05-00</t>
  </si>
  <si>
    <t>Materiales de limpieza</t>
  </si>
  <si>
    <t>4-2-01-09-06-00</t>
  </si>
  <si>
    <t>Material de empaque</t>
  </si>
  <si>
    <t>4-2-01-09-07-00</t>
  </si>
  <si>
    <t>Emision de chequeras</t>
  </si>
  <si>
    <t>4-2-01-09-08-00</t>
  </si>
  <si>
    <t>4-2-01-09-09-00</t>
  </si>
  <si>
    <t>4-2-01-09-10-00</t>
  </si>
  <si>
    <t>4-2-01-10-00-00</t>
  </si>
  <si>
    <t>PUBLICIDAD Y MERCADEO</t>
  </si>
  <si>
    <t>4-2-01-10-01-00</t>
  </si>
  <si>
    <t>Publicidad prensa y revistas</t>
  </si>
  <si>
    <t>4-2-01-10-02-00</t>
  </si>
  <si>
    <t>Publicidad radio</t>
  </si>
  <si>
    <t>4-2-01-10-03-00</t>
  </si>
  <si>
    <t>Publicidad TV</t>
  </si>
  <si>
    <t>4-2-01-10-04-00</t>
  </si>
  <si>
    <t>Publicidad cine</t>
  </si>
  <si>
    <t>4-2-01-10-05-00</t>
  </si>
  <si>
    <t>4-2-01-10-06-00</t>
  </si>
  <si>
    <t>Publicidad rotulos</t>
  </si>
  <si>
    <t>4-2-01-10-07-00</t>
  </si>
  <si>
    <t>Publicidad banners</t>
  </si>
  <si>
    <t>4-2-01-10-08-00</t>
  </si>
  <si>
    <t>4-2-01-10-09-00</t>
  </si>
  <si>
    <t>Publicidad WEB</t>
  </si>
  <si>
    <t>4-2-01-10-10-00</t>
  </si>
  <si>
    <t>Degustaciones</t>
  </si>
  <si>
    <t>4-2-01-10-11-00</t>
  </si>
  <si>
    <t>Atenciones y Eventos</t>
  </si>
  <si>
    <t>4-2-01-10-12-00</t>
  </si>
  <si>
    <t>4-2-01-10-13-00</t>
  </si>
  <si>
    <t>Patrocinios</t>
  </si>
  <si>
    <t>4-2-01-10-14-00</t>
  </si>
  <si>
    <t>Suscripciones</t>
  </si>
  <si>
    <t>4-2-01-11-00-00</t>
  </si>
  <si>
    <t>IMPUESTOS, TASAS Y DERECHOS</t>
  </si>
  <si>
    <t>4-2-01-11-01-00</t>
  </si>
  <si>
    <t>Impuesto municipal por ingresos IMI</t>
  </si>
  <si>
    <t>4-2-01-11-02-00</t>
  </si>
  <si>
    <t>Matricula por registros contables</t>
  </si>
  <si>
    <t>4-2-01-11-03-00</t>
  </si>
  <si>
    <t>Timbres fiscales</t>
  </si>
  <si>
    <t>4-2-01-11-04-00</t>
  </si>
  <si>
    <t>4-2-01-11-05-00</t>
  </si>
  <si>
    <t>Solvencias</t>
  </si>
  <si>
    <t>4-2-01-11-06-00</t>
  </si>
  <si>
    <t>Servicios fitosanitarios</t>
  </si>
  <si>
    <t>4-2-01-11-07-00</t>
  </si>
  <si>
    <t>Derecho de inspeccion</t>
  </si>
  <si>
    <t>4-2-01-11-08-00</t>
  </si>
  <si>
    <t>4-2-01-11-09-00</t>
  </si>
  <si>
    <t>Comision afiliacion T.Credito</t>
  </si>
  <si>
    <t>4-2-01-11-10-00</t>
  </si>
  <si>
    <t>Licencias</t>
  </si>
  <si>
    <t>4-2-01-11-99-00</t>
  </si>
  <si>
    <t>Otras tasas e impuestos</t>
  </si>
  <si>
    <t>4-2-01-12-00-00</t>
  </si>
  <si>
    <t>SEGURIDAD Y PROTECCION</t>
  </si>
  <si>
    <t>4-2-01-12-01-00</t>
  </si>
  <si>
    <t>Servicio de vigilancia</t>
  </si>
  <si>
    <t>4-2-01-12-02-00</t>
  </si>
  <si>
    <t>Equipos de proteccion</t>
  </si>
  <si>
    <t>4-2-01-12-03-00</t>
  </si>
  <si>
    <t>Control de plagas</t>
  </si>
  <si>
    <t>4-2-01-12-04-00</t>
  </si>
  <si>
    <t>Extintores</t>
  </si>
  <si>
    <t>4-2-01-12-05-00</t>
  </si>
  <si>
    <t>Mantt. Extintores</t>
  </si>
  <si>
    <t>4-2-01-13-00-00</t>
  </si>
  <si>
    <t>RESERVAS</t>
  </si>
  <si>
    <t>4-2-01-13-01-00</t>
  </si>
  <si>
    <t>Estimacion cuentas incobrables</t>
  </si>
  <si>
    <t>4-2-01-13-02-00</t>
  </si>
  <si>
    <t>Reserva obsolescencia inventario</t>
  </si>
  <si>
    <t>4-2-01-14-00-00</t>
  </si>
  <si>
    <t>SERVICIOS DIVERSOS</t>
  </si>
  <si>
    <t>4-2-01-14-01-00</t>
  </si>
  <si>
    <t>Cuenta Registro Servic. Agente aduanero</t>
  </si>
  <si>
    <t>4-2-01-14-02-00</t>
  </si>
  <si>
    <t>Fletes y acarreos</t>
  </si>
  <si>
    <t>4-2-01-14-03-00</t>
  </si>
  <si>
    <t>Servicios de Guias</t>
  </si>
  <si>
    <t>4-2-01-14-04-00</t>
  </si>
  <si>
    <t>4-2-01-14-05-00</t>
  </si>
  <si>
    <t>4-2-01-14-06-00</t>
  </si>
  <si>
    <t>Servicios varios</t>
  </si>
  <si>
    <t>4-2-01-14-07-00</t>
  </si>
  <si>
    <t>Servicio Gas</t>
  </si>
  <si>
    <t>REGALÍA</t>
  </si>
  <si>
    <t>EBITDA</t>
  </si>
  <si>
    <t>GASTOS FINANCIEROS (Préstamo de Capital)</t>
  </si>
  <si>
    <t>UTILIDAD ANTES DE AMORTIZACIÓN/DEPRECIACIÓN</t>
  </si>
  <si>
    <t>4-4-02-00-00-00</t>
  </si>
  <si>
    <t>AMORTIZACIONES</t>
  </si>
  <si>
    <t>4-4-02-01-00-00</t>
  </si>
  <si>
    <t>AMORTIZACION MEJORAS DE EDIFICIO</t>
  </si>
  <si>
    <t>4-4-02-01-01-00</t>
  </si>
  <si>
    <t>4-4-02-01-02-00</t>
  </si>
  <si>
    <t>4-4-02-01-03-00</t>
  </si>
  <si>
    <t>4-4-02-01-04-00</t>
  </si>
  <si>
    <t>4-4-02-01-05-00</t>
  </si>
  <si>
    <t>4-4-02-01-06-00</t>
  </si>
  <si>
    <t>4-4-02-01-19-00</t>
  </si>
  <si>
    <t>Impuestos</t>
  </si>
  <si>
    <t>Resultado/Tienda</t>
  </si>
  <si>
    <t>ROS (Retorno Sobre las Ventas)</t>
  </si>
  <si>
    <t>Utilidad neta</t>
  </si>
  <si>
    <t>ROS</t>
  </si>
  <si>
    <t>Punto de equilibrio</t>
  </si>
  <si>
    <t>Contribucion</t>
  </si>
  <si>
    <t>Gastos fijos</t>
  </si>
  <si>
    <t>Ventas en PE</t>
  </si>
  <si>
    <t>Costo V/PE</t>
  </si>
  <si>
    <t>UB</t>
  </si>
  <si>
    <t>PE</t>
  </si>
  <si>
    <t>%Costos</t>
  </si>
  <si>
    <t>U$</t>
  </si>
  <si>
    <t>Alquiler Mensual</t>
  </si>
  <si>
    <t>Cuota al Préstamo</t>
  </si>
  <si>
    <t xml:space="preserve">Gastos de Venta  y Admninistración </t>
  </si>
  <si>
    <t>Alquiler otros</t>
  </si>
  <si>
    <t>Gasto Financeros (EHI)</t>
  </si>
  <si>
    <t>Membresias (regalías 8.5%) EHI</t>
  </si>
  <si>
    <t>Q / Día</t>
  </si>
  <si>
    <t>Q / Sem.</t>
  </si>
  <si>
    <t>Q / Mes</t>
  </si>
  <si>
    <t>Q / Año</t>
  </si>
  <si>
    <t>Category</t>
  </si>
  <si>
    <t>After Disc.</t>
  </si>
  <si>
    <t>Participación HIT</t>
  </si>
  <si>
    <t>HIT</t>
  </si>
  <si>
    <t>HIT Empresarial</t>
  </si>
  <si>
    <t>Escenario Global</t>
  </si>
  <si>
    <t>H1</t>
  </si>
  <si>
    <t>Ciclo de Vida del Proyecto</t>
  </si>
  <si>
    <t>Evolución Ventas Año 1</t>
  </si>
  <si>
    <t>Año 2</t>
  </si>
  <si>
    <t>Referencia</t>
  </si>
  <si>
    <t>% Ventas</t>
  </si>
  <si>
    <t>Meses</t>
  </si>
  <si>
    <t>Venta Q/Día</t>
  </si>
  <si>
    <t>Venta Base/Día</t>
  </si>
  <si>
    <t>Venta Base/Mes</t>
  </si>
  <si>
    <t>Acumulado</t>
  </si>
  <si>
    <t>Sensibilizado</t>
  </si>
  <si>
    <t>H2</t>
  </si>
  <si>
    <t>H3</t>
  </si>
  <si>
    <t>Año referencia</t>
  </si>
  <si>
    <t>Enero 1, 2021 al 31 Diciembre 2021</t>
  </si>
  <si>
    <t>Comportamiento</t>
  </si>
  <si>
    <t>Esperado</t>
  </si>
  <si>
    <t>Ingreso C$</t>
  </si>
  <si>
    <t>Tipo de Cambio</t>
  </si>
  <si>
    <t>Ingreso U$</t>
  </si>
  <si>
    <t>Taza Crece/Mes</t>
  </si>
  <si>
    <t>Promedio %</t>
  </si>
  <si>
    <t>Enero</t>
  </si>
  <si>
    <t>área de producción</t>
  </si>
  <si>
    <t>Febrero</t>
  </si>
  <si>
    <t>área de drive thru</t>
  </si>
  <si>
    <t>H4</t>
  </si>
  <si>
    <t>Marzo</t>
  </si>
  <si>
    <t>área de mesas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</si>
  <si>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</si>
  <si>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</si>
  <si>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</si>
  <si>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</si>
  <si>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</si>
  <si>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</si>
  <si>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</si>
  <si>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</si>
  <si>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</si>
  <si>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KPIS - OPERATIVOS, MARKETING Y FINANZAS</t>
  </si>
  <si>
    <t>Estandar Internacional de Espacios Mesas y Sillas</t>
  </si>
  <si>
    <t>H5</t>
  </si>
  <si>
    <t>Total M2 - Tienda</t>
  </si>
  <si>
    <t>Mesas 2 personas</t>
  </si>
  <si>
    <t>m2 (cuadrado)</t>
  </si>
  <si>
    <t>Ticket Promedio</t>
  </si>
  <si>
    <t>Inversión M2</t>
  </si>
  <si>
    <t>m2 (rectangular)</t>
  </si>
  <si>
    <t>Ticket Promedio Auto</t>
  </si>
  <si>
    <t>Cantidad sillas/Tienda</t>
  </si>
  <si>
    <t>Mesas 4 personas</t>
  </si>
  <si>
    <t>Ticket Promedio Tienda</t>
  </si>
  <si>
    <t>Cantidad mesas/Tienda</t>
  </si>
  <si>
    <t>Ticket Promedio To Go</t>
  </si>
  <si>
    <t>Promedio Mesas</t>
  </si>
  <si>
    <t>m2</t>
  </si>
  <si>
    <t>Ticket Promedio Delivery</t>
  </si>
  <si>
    <t>Clientes/Mesas/Día</t>
  </si>
  <si>
    <t>Espacio/mesas</t>
  </si>
  <si>
    <t>Espacio alrededor/mesas</t>
  </si>
  <si>
    <t>Productos promedio/Ticket</t>
  </si>
  <si>
    <t>Clientes/Mesas/Hora</t>
  </si>
  <si>
    <t>Clientes/Barra</t>
  </si>
  <si>
    <t>N/A</t>
  </si>
  <si>
    <t>Total Anual</t>
  </si>
  <si>
    <t>Colaboradores/Tienda</t>
  </si>
  <si>
    <t>Promedio Mensual</t>
  </si>
  <si>
    <t>Asesores Servicio/Tienda</t>
  </si>
  <si>
    <t>Promedio Mensual US$</t>
  </si>
  <si>
    <t>Productividad/Colaborador/Mes</t>
  </si>
  <si>
    <t>T/C al 31 Diciembre</t>
  </si>
  <si>
    <t>Productividad/Colaborador/PP.EE.</t>
  </si>
  <si>
    <t>Embudo Ventas/Día (efectividad)</t>
  </si>
  <si>
    <t>Productividad/Colaborador/Día</t>
  </si>
  <si>
    <t>ESQUEMA MERCADO: LO QUE MUEVO MAS EN VENTAS EN INGRESOS NOS DA UN ENFOQUE DE MI PESO FINANCIERO PARA GENERAR RENTABILIDAD</t>
  </si>
  <si>
    <t>Embudo Redes/Día (personas)</t>
  </si>
  <si>
    <t>Clientes/Asesor Servicio/Día</t>
  </si>
  <si>
    <t>Clientes/Asesor Servicio/Hora</t>
  </si>
  <si>
    <t>Análisis Histórico de Ventas para Modelar el nuevo Punto de Ventas</t>
  </si>
  <si>
    <t>Comparativo P.Venta:</t>
  </si>
  <si>
    <t>ENTHEOS</t>
  </si>
  <si>
    <t>Rango Meses:</t>
  </si>
  <si>
    <t>Octubre 2021-Septiembre 2022</t>
  </si>
  <si>
    <t>Años:</t>
  </si>
  <si>
    <t>MES Prom</t>
  </si>
  <si>
    <t>Año 1</t>
  </si>
  <si>
    <t>Ventas Día</t>
  </si>
  <si>
    <t>Ingresos</t>
  </si>
  <si>
    <t>Unidades</t>
  </si>
  <si>
    <t>DIA Prom</t>
  </si>
  <si>
    <t>SEM Prom</t>
  </si>
  <si>
    <t>MES DE APERTURA</t>
  </si>
  <si>
    <t>¿QUE VAMOS A VENDER? - COMPORTAMIENTO AÑO 1</t>
  </si>
  <si>
    <t>Escenario de Proyección de Ventas para Apertura - CALCULO DE INGRESOS</t>
  </si>
  <si>
    <t>Escenario Ventas por Día - En Ingresos y En Unidades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</si>
  <si>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</si>
  <si>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</si>
  <si>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</si>
  <si>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</si>
  <si>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</si>
  <si>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</si>
  <si>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</si>
  <si>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</si>
  <si>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</si>
  <si>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</si>
  <si>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</si>
  <si>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</si>
  <si>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</si>
  <si>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</si>
  <si>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</si>
  <si>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</si>
  <si>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ESTACIONALIDAD DE LAS VENTAS AÑO 1 - EN UNIDADES</t>
  </si>
  <si>
    <t>ESTACIONALIDAD DE LAS VENTAS AÑO 1 - EN DOLARES</t>
  </si>
  <si>
    <t>Participación</t>
  </si>
  <si>
    <t>HITS</t>
  </si>
  <si>
    <t>¿QUE VAMOS A VENDER? - COMPORTAMIENTO AÑO 2</t>
  </si>
  <si>
    <t>ESTACIONALIDAD DE LAS VENTAS AÑO 2 - EN UNIDADES</t>
  </si>
  <si>
    <t>ESTACIONALIDAD DE LAS VENTAS AÑO 2 - EN DOLARES</t>
  </si>
  <si>
    <t>¿QUE VAMOS A VENDER? - COMPORTAMIENTO AÑO 3</t>
  </si>
  <si>
    <t>ESTACIONALIDAD DE LAS VENTAS AÑO 3 - EN DOLARES</t>
  </si>
  <si>
    <t>ESTACIONALIDAD DE LAS VENTAS AÑO 3 - EN UNIDADES</t>
  </si>
  <si>
    <t>PROYECCION DE CRECIMIENTO ESPERADO</t>
  </si>
  <si>
    <t>ESTACIONALIDAD DE LAS VENTAS AÑO 4 - EN UNIDADES</t>
  </si>
  <si>
    <t>¿QUE VAMOS A VENDER? - COMPORTAMIENTO AÑO 4</t>
  </si>
  <si>
    <t>ESTACIONALIDAD DE LAS VENTAS AÑO 4 - EN DOLARES</t>
  </si>
  <si>
    <t>¿QUE VAMOS A VENDER? - COMPORTAMIENTO AÑO 5</t>
  </si>
  <si>
    <t>ESTACIONALIDAD DE LAS VENTAS AÑO 5 - EN UNIDADES</t>
  </si>
  <si>
    <t>ESTACIONALIDAD DE LAS VENTAS AÑO 5 - EN DOLARES</t>
  </si>
  <si>
    <t>MES Anterior</t>
  </si>
  <si>
    <t>Crecimiento Anual Proyectado</t>
  </si>
  <si>
    <t>EN INGRESOS</t>
  </si>
  <si>
    <t xml:space="preserve">Acumulado </t>
  </si>
  <si>
    <t>EN UNIDADES - PLATOS Y BEBIDAS</t>
  </si>
  <si>
    <t>Proyección</t>
  </si>
  <si>
    <t>PRESUPUESTO AÑO 1 - RESUMEN EJECUTIVO</t>
  </si>
  <si>
    <t>PRESUPUESTO AÑO 2 - RESUMEN EJECUTIVO</t>
  </si>
  <si>
    <t>Incremento precios</t>
  </si>
  <si>
    <t>Crecimiento</t>
  </si>
  <si>
    <t>Inflación</t>
  </si>
  <si>
    <t>Riesgo País</t>
  </si>
  <si>
    <t>Regalías</t>
  </si>
  <si>
    <t>Comisiones</t>
  </si>
  <si>
    <t>Profit First</t>
  </si>
  <si>
    <t>Tipos de Cambios</t>
  </si>
  <si>
    <t>PRESUPUESTO AÑO 1 - DESGLOSADO</t>
  </si>
  <si>
    <t>G. FINANCIEROS (Préstamo de Capital)</t>
  </si>
  <si>
    <t>IMPUESTOS</t>
  </si>
  <si>
    <t>RESULTADO/TIENDA</t>
  </si>
  <si>
    <t>PRESUPUESTO AÑO 3 - RESUMEN EJECUTIVO</t>
  </si>
  <si>
    <t>PRESUPUESTO AÑO 4 - RESUMEN EJECUTIVO</t>
  </si>
  <si>
    <t>PRESUPUESTO AÑO 5 - RESUMEN EJECUTIVO</t>
  </si>
  <si>
    <t>Ventas Brutas</t>
  </si>
  <si>
    <t>Año 3</t>
  </si>
  <si>
    <t>Año 4</t>
  </si>
  <si>
    <t>Año 5</t>
  </si>
  <si>
    <t>EBITDA SIN REGALÍA</t>
  </si>
  <si>
    <t>EBITDA SIN REGALÍA SIN REGALÍA</t>
  </si>
  <si>
    <t>EBITDA CON REGALÍA</t>
  </si>
  <si>
    <t>Año 0</t>
  </si>
  <si>
    <t xml:space="preserve">Total </t>
  </si>
  <si>
    <t>Ventas</t>
  </si>
  <si>
    <t>Relacionados a costos</t>
  </si>
  <si>
    <t>Compras</t>
  </si>
  <si>
    <t>Consumibles</t>
  </si>
  <si>
    <t>Gas</t>
  </si>
  <si>
    <t>Relacionados a gastos de ventas</t>
  </si>
  <si>
    <t>Publicidad y Mercadeo</t>
  </si>
  <si>
    <t>Regalias</t>
  </si>
  <si>
    <t>Relacionados a gastos de administración</t>
  </si>
  <si>
    <t>Salarios y Prestaciones</t>
  </si>
  <si>
    <t>Capacitaciones</t>
  </si>
  <si>
    <t>Asesoría y Asistencia Técnica</t>
  </si>
  <si>
    <t>Mantenimiento y Reparaciones</t>
  </si>
  <si>
    <t>Arrendamiento</t>
  </si>
  <si>
    <t>Servicios Básicos</t>
  </si>
  <si>
    <t>Seguros</t>
  </si>
  <si>
    <t>Combustibles y Lubricantes</t>
  </si>
  <si>
    <t>Suministros</t>
  </si>
  <si>
    <t>Seguridad y Protección</t>
  </si>
  <si>
    <t>Reservas</t>
  </si>
  <si>
    <t>Servicios Diversos</t>
  </si>
  <si>
    <t>Relacionados a gastos financieros</t>
  </si>
  <si>
    <t>Comisiones TC</t>
  </si>
  <si>
    <t>Préstamos</t>
  </si>
  <si>
    <t>Relacionados a impuestos, tasas y derechos</t>
  </si>
  <si>
    <t>Impuestos, tasas y derechos</t>
  </si>
  <si>
    <t>Gastos de Ventas y Administración</t>
  </si>
  <si>
    <t>Total Flujo de Operaciones</t>
  </si>
  <si>
    <t>Inversión Inicial Aproximada</t>
  </si>
  <si>
    <t>Otros Gastos Independientes</t>
  </si>
  <si>
    <t>Desembolso</t>
  </si>
  <si>
    <t>Total Flujo de Financiamiento</t>
  </si>
  <si>
    <t>Tasa de Descuento</t>
  </si>
  <si>
    <t>INDICADORES FINANCIEROS CLAVES</t>
  </si>
  <si>
    <t>VAN (VALOR ACTUAL NETO)</t>
  </si>
  <si>
    <t>(Indicador financiero que determina viabilidad del proyecto)</t>
  </si>
  <si>
    <t>PUNTO DE EQUILIBRIO</t>
  </si>
  <si>
    <t>ROI (RETORNO DE INVERSION - se lee en veces)</t>
  </si>
  <si>
    <t>(Métrica para saber cuánto el negocio ganará a través de sus inversiones)</t>
  </si>
  <si>
    <t>TIR (TASA INTERNA DE RETORNO)</t>
  </si>
  <si>
    <t>(Es la rentabilidad de la inversión. Es el % de beneficio o pérdida de la inversión)</t>
  </si>
  <si>
    <t>KPIS</t>
  </si>
  <si>
    <t>Facturaciones</t>
  </si>
  <si>
    <t>Mensual</t>
  </si>
  <si>
    <t>Semanal</t>
  </si>
  <si>
    <t>Diario</t>
  </si>
  <si>
    <t>CxC</t>
  </si>
  <si>
    <t>Apalancamientos</t>
  </si>
  <si>
    <t>Relacionados a ingresos</t>
  </si>
  <si>
    <t>CxP</t>
  </si>
  <si>
    <t>Parámetros Generales del Proyecto Empresarial</t>
  </si>
  <si>
    <t>Monto a recuperar al finalizar año 4 =&gt;</t>
  </si>
  <si>
    <t>ESTRUCTURA BASE FINANCIERA</t>
  </si>
  <si>
    <t>Clientes/Auto/Día</t>
  </si>
  <si>
    <t>Clientes/Auto/Hora</t>
  </si>
  <si>
    <t>PRINCIPAL</t>
  </si>
  <si>
    <t>HABILITACIÓN DE LA UNIDAD</t>
  </si>
  <si>
    <t>Área</t>
  </si>
  <si>
    <t>M2</t>
  </si>
  <si>
    <t>Costo m2</t>
  </si>
  <si>
    <t>Subtotal</t>
  </si>
  <si>
    <t>Interno</t>
  </si>
  <si>
    <t>Terraza</t>
  </si>
  <si>
    <t>INVERSIÓN GENERAL DE INSUMOS PARA LA PRODUCCION</t>
  </si>
  <si>
    <t>CONCEPTO</t>
  </si>
  <si>
    <t>Q</t>
  </si>
  <si>
    <t>UNITARIO</t>
  </si>
  <si>
    <t>Mobiliario, Maquinaria y Equipo para operar</t>
  </si>
  <si>
    <t>Asignación</t>
  </si>
  <si>
    <t>AREA DE COCINA</t>
  </si>
  <si>
    <t>Minibar Lechehelada</t>
  </si>
  <si>
    <t>Vitrina acrílica</t>
  </si>
  <si>
    <t>Máquina de café</t>
  </si>
  <si>
    <t>AREA DE CAJA</t>
  </si>
  <si>
    <t>Menu</t>
  </si>
  <si>
    <t>Vitrinas de Postres</t>
  </si>
  <si>
    <t>Pizarra para Precios</t>
  </si>
  <si>
    <t>Calcomanía para Pizarra</t>
  </si>
  <si>
    <t>Caja de Efectivo</t>
  </si>
  <si>
    <t>1er Mantenimiento de Equipos Cómputo</t>
  </si>
  <si>
    <t>1er Mantenimiento de Activos</t>
  </si>
  <si>
    <t>Impresora</t>
  </si>
  <si>
    <t>Equipo DriveT</t>
  </si>
  <si>
    <t xml:space="preserve">Ipad </t>
  </si>
  <si>
    <t>Router</t>
  </si>
  <si>
    <t>Porta Ipad Acrílico</t>
  </si>
  <si>
    <t>Celular</t>
  </si>
  <si>
    <t>Alfombra anti desilzante</t>
  </si>
  <si>
    <t>Tabla para postres con Logo</t>
  </si>
  <si>
    <t>Extinguidor</t>
  </si>
  <si>
    <t>Rótulos (internos y externo)</t>
  </si>
  <si>
    <t>AREA DE SERVICIO AL CLIENTE</t>
  </si>
  <si>
    <t>Base para mesa22x22 de metal</t>
  </si>
  <si>
    <t>Cubierta Madera de Café con resina y logo CLF en esquina</t>
  </si>
  <si>
    <t>Silla de restaurante</t>
  </si>
  <si>
    <t>Otras inversiones de sala de mesas</t>
  </si>
  <si>
    <t>IT</t>
  </si>
  <si>
    <t>TOTAL</t>
  </si>
  <si>
    <t>INVENTARIO INICIAL</t>
  </si>
  <si>
    <t>Papelería institucional</t>
  </si>
  <si>
    <t>Insumos  de limpieza</t>
  </si>
  <si>
    <t>Uniformes</t>
  </si>
  <si>
    <t>Inventario de productos inicial</t>
  </si>
  <si>
    <t>IVA</t>
  </si>
  <si>
    <t>Mobiliario, Equipo, Maquinaria, Inventario y Remodelación</t>
  </si>
  <si>
    <t>GASTOS DE PREAPERTURA</t>
  </si>
  <si>
    <t>Publicidad inicial</t>
  </si>
  <si>
    <t>Instalación de equipos</t>
  </si>
  <si>
    <t>Licencias y permisos</t>
  </si>
  <si>
    <t>Repuestos</t>
  </si>
  <si>
    <t>CAPITAL DE TRABAJO DESTINADO</t>
  </si>
  <si>
    <t>Costo Total Aproximado</t>
  </si>
  <si>
    <t>Cambio de Regalía Año 6 =&gt;</t>
  </si>
  <si>
    <t>Systema Fee =&gt;</t>
  </si>
  <si>
    <t>Inversión Inicial Instalación y Organización =&gt;</t>
  </si>
  <si>
    <t>Inversión Inicial Total =&gt;</t>
  </si>
  <si>
    <t>Depósito de Renovación Año 5 en concepto de los equipos =&gt;</t>
  </si>
  <si>
    <t>% a contemplar de reinversión =&gt;</t>
  </si>
  <si>
    <t>Tasa de interés anual =&gt;</t>
  </si>
  <si>
    <t>Período del préstamo en años =&gt;</t>
  </si>
  <si>
    <t>PARAMETROS FINANCIEROS EN AÑOS</t>
  </si>
  <si>
    <t>Inflación =&gt;</t>
  </si>
  <si>
    <t xml:space="preserve">Año 1 </t>
  </si>
  <si>
    <t>Riesgo País =&gt;</t>
  </si>
  <si>
    <t>SUPUESTOS VIABILIDAD PROYECTO</t>
  </si>
  <si>
    <t>áreas</t>
  </si>
  <si>
    <t>Inflación + Riesgo País</t>
  </si>
  <si>
    <t>ACUMULADO</t>
  </si>
  <si>
    <t>Resumen</t>
  </si>
  <si>
    <t>VENTAS NETAS + IVA</t>
  </si>
  <si>
    <t>VENTAS BRUTAS</t>
  </si>
  <si>
    <t>DESCUENTOS SOBRE VENTAS</t>
  </si>
  <si>
    <t>VENTAS NETAS</t>
  </si>
  <si>
    <t>COSTO DE VENTAS</t>
  </si>
  <si>
    <t>UTILIDAD BRUTA</t>
  </si>
  <si>
    <t>GASTOS DE VENTAS</t>
  </si>
  <si>
    <t>Fijos</t>
  </si>
  <si>
    <t>Variables</t>
  </si>
  <si>
    <t>GASTOS DE PRODUCCION</t>
  </si>
  <si>
    <t>GASTOS DE ADMINISTRACION</t>
  </si>
  <si>
    <t>GASTOS FINANCIEROS</t>
  </si>
  <si>
    <t>OTROS GASTOS Y PROD</t>
  </si>
  <si>
    <t>DEPRECIACIONES y AMORTIZAC.</t>
  </si>
  <si>
    <t>TOTAL DE GASTOS</t>
  </si>
  <si>
    <t>Utilidad antes de impuestos</t>
  </si>
  <si>
    <t>Resultado Neto</t>
  </si>
  <si>
    <t>Flujo Operativo</t>
  </si>
  <si>
    <t>Total gastos más impuestos</t>
  </si>
  <si>
    <t>Punto de Equilibrio</t>
  </si>
  <si>
    <t>«Earnings Before Interest, Taxes, Depreciation and Amortisation»</t>
  </si>
  <si>
    <t>«Ganancias antes de intereses, impuestos, depreciación y amortización»</t>
  </si>
  <si>
    <t>1er Trim</t>
  </si>
  <si>
    <t>2do Trim</t>
  </si>
  <si>
    <t>3er Trim</t>
  </si>
  <si>
    <t>4to Trim</t>
  </si>
  <si>
    <t>Retorno  de Inversión sobre monto prestado al finalizar año 5 =&gt;</t>
  </si>
  <si>
    <t>VENTAS SEGÚN PUNTO EQUILIBRIO</t>
  </si>
  <si>
    <t>Punto de Equilibrio (PP.EE.)</t>
  </si>
  <si>
    <t>Precio Venta Promedio/Producto</t>
  </si>
  <si>
    <t>Facturaciones Promedio Auto</t>
  </si>
  <si>
    <t>Facturaciones Promedio Tienda</t>
  </si>
  <si>
    <t>Facturaciones Promedio To Go</t>
  </si>
  <si>
    <t>Facturaciones Promedio Delivery</t>
  </si>
  <si>
    <t>Clientes promedio/Ticket</t>
  </si>
  <si>
    <t>Clientes Promedio Auto</t>
  </si>
  <si>
    <t>Clientes Promedio Tienda</t>
  </si>
  <si>
    <t>Clientes Promedio To Go</t>
  </si>
  <si>
    <t>Clientes Promedio Delivery</t>
  </si>
  <si>
    <t>Horas de Apertura Tienda</t>
  </si>
  <si>
    <t>Totales</t>
  </si>
  <si>
    <t>Pagos al principal</t>
  </si>
  <si>
    <t>Intereses</t>
  </si>
  <si>
    <t>Ventas Netas</t>
  </si>
  <si>
    <t>Flujo Neto de Caja</t>
  </si>
  <si>
    <t>% Free Cash Flow Inversionista vs Venta</t>
  </si>
  <si>
    <t>ROI sobre monto prestado al finalizar año 4 =&gt;</t>
  </si>
  <si>
    <t>Depósito de Renovación Equipos en Año 5 =&gt;</t>
  </si>
  <si>
    <t>System Fee =&gt;</t>
  </si>
  <si>
    <t>Gráfico de Evolución de Resultados</t>
  </si>
  <si>
    <t>RESUMEN EJECUTIVO</t>
  </si>
  <si>
    <t>VIABILIDAD DEL PROYECTO</t>
  </si>
  <si>
    <t>PROYECCIONES DE VENTAS</t>
  </si>
  <si>
    <t>INVERSION Y PP.EE.</t>
  </si>
  <si>
    <t>FACTIBILIDAD DEL PROYECTO</t>
  </si>
  <si>
    <t>PRESUPUESTOS</t>
  </si>
  <si>
    <t>Regalías para Inversionista</t>
  </si>
  <si>
    <t>Free Cash Flow para Inversionista</t>
  </si>
  <si>
    <t>Amortización</t>
  </si>
  <si>
    <t>en Meses</t>
  </si>
  <si>
    <t>Alquiler</t>
  </si>
  <si>
    <t>Depreciación y</t>
  </si>
  <si>
    <t>Depreciación</t>
  </si>
  <si>
    <t>Activos Fijos</t>
  </si>
  <si>
    <t>Computo</t>
  </si>
  <si>
    <t>Amortizacion Mejoras edificio 1</t>
  </si>
  <si>
    <t>Amortizacion Mejoras edificio 2</t>
  </si>
  <si>
    <t>Amortizacion Mejoras edificio 3</t>
  </si>
  <si>
    <t>Amortizacion Mejoras edificio 4</t>
  </si>
  <si>
    <t>Amortizacion Mejoras edificio 5</t>
  </si>
  <si>
    <t>Depreciaciones equipos cómputo</t>
  </si>
  <si>
    <t>Depreciaciones Activos Fijos</t>
  </si>
  <si>
    <t>Retorno Quinquenal</t>
  </si>
  <si>
    <t>Licuadora Vitamix</t>
  </si>
  <si>
    <t>iPhone</t>
  </si>
  <si>
    <t>BIM para Hielo</t>
  </si>
  <si>
    <t>Accesorios para Máquina de café</t>
  </si>
  <si>
    <t>Instalación Equipos</t>
  </si>
  <si>
    <t>AC + Instlación + Ductería</t>
  </si>
  <si>
    <t>Ingresos Operacionales</t>
  </si>
  <si>
    <t>Costos Operacionales</t>
  </si>
  <si>
    <t>Gastos Operacionales</t>
  </si>
  <si>
    <t>Acumulados</t>
  </si>
  <si>
    <t>Regalía inicial =&gt;</t>
  </si>
  <si>
    <t>FECHA DE CUOTA</t>
  </si>
  <si>
    <t>No.CUOTA</t>
  </si>
  <si>
    <t>INTERES</t>
  </si>
  <si>
    <t>CUOTA</t>
  </si>
  <si>
    <t>SALDO</t>
  </si>
  <si>
    <t>Flujo de Financiamiento por Préstamo o Inversión</t>
  </si>
  <si>
    <t>Período de pagos</t>
  </si>
  <si>
    <t>Plazo en años del préstamo</t>
  </si>
  <si>
    <t>Monto Inversión a Financiar</t>
  </si>
  <si>
    <t>Tasa nominal interés anual</t>
  </si>
  <si>
    <t>Costos Operativos</t>
  </si>
  <si>
    <t>Gastos Operativos</t>
  </si>
  <si>
    <t>Inversión Total =&gt;</t>
  </si>
  <si>
    <t>Inversión Instalación y Organización =&gt;</t>
  </si>
  <si>
    <t>Nuevo % Préstamo =&gt;</t>
  </si>
  <si>
    <t>Programa de Pagos del Préstamo</t>
  </si>
  <si>
    <t>FLUJO DE CAJA AÑO 1</t>
  </si>
  <si>
    <t>CHECK LIST DE INSUMOS A INVERTIR</t>
  </si>
  <si>
    <t>PAYBACK empresarial</t>
  </si>
  <si>
    <t>Retorno Anual - Rentabilidad del Proyecto</t>
  </si>
  <si>
    <t>TIR</t>
  </si>
  <si>
    <t>PANORAMA INVERSION 1: PRIMEROS 5 AÑOS</t>
  </si>
  <si>
    <t>% Crecimiento Sobre Regalías</t>
  </si>
  <si>
    <t>Tasa de crecimiento anual sobre ventas =&gt;</t>
  </si>
  <si>
    <t>4-2-01-10-01-01</t>
  </si>
  <si>
    <t>4-2-01-10-01-02</t>
  </si>
  <si>
    <t>4-2-01-10-01-03</t>
  </si>
  <si>
    <t>4-2-01-10-01-04</t>
  </si>
  <si>
    <t>4-2-01-10-01-05</t>
  </si>
  <si>
    <t>4-2-01-10-01-06</t>
  </si>
  <si>
    <t>4-2-01-10-01-07</t>
  </si>
  <si>
    <t>4-2-01-10-01-08</t>
  </si>
  <si>
    <t>4-2-01-10-01-09</t>
  </si>
  <si>
    <t>4-2-01-10-01-10</t>
  </si>
  <si>
    <t>4-2-01-10-01-11</t>
  </si>
  <si>
    <t>4-2-01-10-01-12</t>
  </si>
  <si>
    <t>4-2-01-10-01-13</t>
  </si>
  <si>
    <t>4-2-01-10-01-14</t>
  </si>
  <si>
    <t>Publicidad vallas y mopis</t>
  </si>
  <si>
    <t>Publicidad materiales de mercadeo</t>
  </si>
  <si>
    <t>Materiales Promocionales</t>
  </si>
  <si>
    <t>Pantalas de TV + Instalación</t>
  </si>
  <si>
    <t>Imprevisto</t>
  </si>
  <si>
    <t>fechas de cotizacion</t>
  </si>
  <si>
    <t>Planos</t>
  </si>
  <si>
    <t>Flujo Neto de Caja - Desglosado</t>
  </si>
  <si>
    <t>Comportamient de Crecimiento</t>
  </si>
  <si>
    <t>FNC (Flujo Neto de Caja) con INVERSIONISTA</t>
  </si>
  <si>
    <t>FNC (Flujo Neto de Caja) sin INVERSIONISTA</t>
  </si>
  <si>
    <t>Inversión</t>
  </si>
  <si>
    <t>VAN</t>
  </si>
  <si>
    <t>FNC (Flujo Neto de Caja) del Inversionista</t>
  </si>
  <si>
    <t>INDICADORES CON INVERSIONISTA</t>
  </si>
  <si>
    <t>INDICADORES SIN INVERSIONISTA</t>
  </si>
  <si>
    <t>INDICADORES DEL INVERSIONISTA</t>
  </si>
  <si>
    <t>FNC DESCONTADO con INVERSIONISTA</t>
  </si>
  <si>
    <t>FNC DESCONTADO sin INVERSIONISTA</t>
  </si>
  <si>
    <t>FNC DESCONTADO del INVERSIONISTA</t>
  </si>
  <si>
    <t>PayBack</t>
  </si>
  <si>
    <t>mes</t>
  </si>
  <si>
    <t xml:space="preserve">año </t>
  </si>
  <si>
    <t>Flujo del Proyecto</t>
  </si>
  <si>
    <t>Flujo del Inversionista y del Proyecto</t>
  </si>
  <si>
    <t>Flujo del Inversionista</t>
  </si>
  <si>
    <t>PAYBACK</t>
  </si>
  <si>
    <t>Flujo del Proyecto con Inversionista</t>
  </si>
  <si>
    <t>Flujo del Proyecto del Inversionista</t>
  </si>
  <si>
    <t>FNC Descontado</t>
  </si>
  <si>
    <t>años</t>
  </si>
  <si>
    <t>Interes</t>
  </si>
  <si>
    <t>Capital</t>
  </si>
  <si>
    <t>AMORTIZACIONES Y DEPRECIACIONES y DEPRECIACIONES</t>
  </si>
  <si>
    <t>AMORTIZACIONES Y DEPRECIACIONES</t>
  </si>
  <si>
    <t>PRESUPUESTO a 5 AÑOS - RESUMEN EJECUTIVO</t>
  </si>
  <si>
    <t>Crecimiento Esperado comparativo conforme Histórico Base de Negocio Origen</t>
  </si>
  <si>
    <t>Tiempo Atención/Cliente:</t>
  </si>
  <si>
    <t>minutos</t>
  </si>
  <si>
    <t>Tiempo Duración Atención Horas Picos:</t>
  </si>
  <si>
    <t>veces</t>
  </si>
  <si>
    <t>Tiempos alimenticios de atención al cliente:</t>
  </si>
  <si>
    <t>tiempos (Desayunos, Almuerzos y Cenas)</t>
  </si>
  <si>
    <t>día</t>
  </si>
  <si>
    <t>Rotación CI Esperada conforme Tiempo Atención al Cliente:</t>
  </si>
  <si>
    <t>Rotación CI Superávit conforme Tiempo Atención al Cliente:</t>
  </si>
  <si>
    <t>Rotación CI Proyectada capacidad instalada Tienda:</t>
  </si>
  <si>
    <t>Relación % Crecimiento</t>
  </si>
  <si>
    <t>Periodicidad de capitalización</t>
  </si>
  <si>
    <t>Tasa efectiva del periodo</t>
  </si>
  <si>
    <t>Pago inicial en cero</t>
  </si>
  <si>
    <t>Día</t>
  </si>
  <si>
    <t>Mes</t>
  </si>
  <si>
    <t>Uniformes + capacitación</t>
  </si>
  <si>
    <t>Año</t>
  </si>
  <si>
    <t>Clientes</t>
  </si>
  <si>
    <t>Productos Promedio Delivery</t>
  </si>
  <si>
    <t>Productos Promedio To Go</t>
  </si>
  <si>
    <t>Productos Promedio Tienda</t>
  </si>
  <si>
    <t>Productos Promedio Auto</t>
  </si>
  <si>
    <t>Productos promedio</t>
  </si>
  <si>
    <t>(TRANSACCIONES) Facturaciones promedio</t>
  </si>
  <si>
    <t>A P R O X I M A D O S</t>
  </si>
  <si>
    <t>Moneda Nacional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</si>
  <si>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</si>
  <si>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</si>
  <si>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</si>
  <si>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</si>
  <si>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</si>
  <si>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</si>
  <si>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</si>
  <si>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</si>
  <si>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</si>
  <si>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</si>
  <si>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Activo 1</t>
  </si>
  <si>
    <t>C11</t>
  </si>
  <si>
    <t>Activo 2</t>
  </si>
  <si>
    <t>C12</t>
  </si>
  <si>
    <t>Activo 3</t>
  </si>
  <si>
    <t>C13</t>
  </si>
  <si>
    <t>Activo 4</t>
  </si>
  <si>
    <t>C14</t>
  </si>
  <si>
    <t>Activo 5</t>
  </si>
  <si>
    <t>C15</t>
  </si>
  <si>
    <t>Activo 6</t>
  </si>
  <si>
    <t>C16</t>
  </si>
  <si>
    <t>Activo 7</t>
  </si>
  <si>
    <t>C17</t>
  </si>
  <si>
    <t>Activo 8</t>
  </si>
  <si>
    <t>Parámetros de Estacionalidad de las Ventas según Históricos</t>
  </si>
  <si>
    <t>C18</t>
  </si>
  <si>
    <t>Activo 9</t>
  </si>
  <si>
    <t>C19</t>
  </si>
  <si>
    <t>Activo 10</t>
  </si>
  <si>
    <t>C20</t>
  </si>
  <si>
    <t>Activo 11</t>
  </si>
  <si>
    <t>C21</t>
  </si>
  <si>
    <t>Activo 12</t>
  </si>
  <si>
    <t>C22</t>
  </si>
  <si>
    <t>Activo 13</t>
  </si>
  <si>
    <t>C23</t>
  </si>
  <si>
    <t>Activo 14</t>
  </si>
  <si>
    <t>C24</t>
  </si>
  <si>
    <t>Activo 15</t>
  </si>
  <si>
    <t>C25</t>
  </si>
  <si>
    <t>Activo 16</t>
  </si>
  <si>
    <t>C26</t>
  </si>
  <si>
    <t>Activo 17</t>
  </si>
  <si>
    <t>C27</t>
  </si>
  <si>
    <t>Activo 18</t>
  </si>
  <si>
    <t>C28</t>
  </si>
  <si>
    <t>Activo 19</t>
  </si>
  <si>
    <t>C29</t>
  </si>
  <si>
    <t>Activo 20</t>
  </si>
  <si>
    <t>C30</t>
  </si>
  <si>
    <t>Activo 21</t>
  </si>
  <si>
    <t>C31</t>
  </si>
  <si>
    <t>Activo 22</t>
  </si>
  <si>
    <t>(Moneda</t>
  </si>
  <si>
    <t>C32</t>
  </si>
  <si>
    <t>Activo 23</t>
  </si>
  <si>
    <t>Nacional)</t>
  </si>
  <si>
    <t>C33</t>
  </si>
  <si>
    <t>Activo 24</t>
  </si>
  <si>
    <t>C34</t>
  </si>
  <si>
    <t>Activo 25</t>
  </si>
  <si>
    <t>C35</t>
  </si>
  <si>
    <t>Activo 26</t>
  </si>
  <si>
    <t>C36</t>
  </si>
  <si>
    <t>Activo 27</t>
  </si>
  <si>
    <t>C37</t>
  </si>
  <si>
    <t>Activo 28</t>
  </si>
  <si>
    <t>C38</t>
  </si>
  <si>
    <t>Activo 29</t>
  </si>
  <si>
    <t>C39</t>
  </si>
  <si>
    <t>Activo 30</t>
  </si>
  <si>
    <t>C40</t>
  </si>
  <si>
    <t>Cuota capacitación por ley</t>
  </si>
  <si>
    <t>C41</t>
  </si>
  <si>
    <t>Cuota seguro patronal</t>
  </si>
  <si>
    <t>C42</t>
  </si>
  <si>
    <t>C43</t>
  </si>
  <si>
    <t>Mantto. Maquinas de producción</t>
  </si>
  <si>
    <t>Mantto. Equipo varios</t>
  </si>
  <si>
    <t>Utencilios de producción</t>
  </si>
  <si>
    <t>Productos nuevos de introducción</t>
  </si>
  <si>
    <t>Otros insumos</t>
  </si>
  <si>
    <t>Servicio de Producción</t>
  </si>
  <si>
    <t>Exclusividades</t>
  </si>
  <si>
    <t>inversión hoy</t>
  </si>
  <si>
    <t>retorno de inversión año 5</t>
  </si>
  <si>
    <t>valor actual neto descontado</t>
  </si>
  <si>
    <t>Por cada dólar de inversion, mi valor a 5 años:</t>
  </si>
  <si>
    <t>VAN %</t>
  </si>
  <si>
    <t>FLUJO DE CAJA a 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</si>
</sst>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6"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0.0%"/>
    <numFmt numFmtId="165" formatCode="[$$-409]#,##0.00"/>
    <numFmt numFmtId="166" formatCode="_(* #,##0.00_);_(* \(#,##0.00\);_(* &quot;-&quot;??_);_(@_)"/>
    <numFmt numFmtId="167" formatCode="0.0000"/>
    <numFmt numFmtId="168" formatCode="_-[$$-409]* #,##0.00_ ;_-[$$-409]* \-#,##0.00\ ;_-[$$-409]* &quot;-&quot;??_ ;_-@_ "/>
    <numFmt numFmtId="169" formatCode="_-[$$-540A]* #,##0.00_ ;_-[$$-540A]* \-#,##0.00\ ;_-[$$-540A]* &quot;-&quot;??_ ;_-@_ "/>
    <numFmt numFmtId="170" formatCode="_(* #,##0_);_(* \(#,##0\);_(* &quot;-&quot;??_);_(@_)"/>
    <numFmt numFmtId="171" formatCode="#,##0_ ;\-#,##0\ "/>
    <numFmt numFmtId="172" formatCode="#,##0;[Red]#,##0"/>
    <numFmt numFmtId="173" formatCode="#,##0.00000000000;[Red]#,##0.00000000000"/>
    <numFmt numFmtId="174" formatCode="#,##0.00\ &quot;€&quot;"/>
    <numFmt numFmtId="175" formatCode="[$$-80A]#,##0"/>
    <numFmt numFmtId="176" formatCode="&quot;$&quot;#,##0.00"/>
    <numFmt numFmtId="177" formatCode="[$USD]\ #,##0"/>
    <numFmt numFmtId="178" formatCode="[$USD]\ #,##0;[Red]\-[$USD]\ #,##0"/>
    <numFmt numFmtId="179" formatCode="_(&quot;$&quot;* #,##0.00_);_(&quot;$&quot;* \(#,##0.00\);_(&quot;$&quot;* &quot;-&quot;??_);_(@_)"/>
    <numFmt numFmtId="180" formatCode="&quot;$&quot;#,##0"/>
    <numFmt numFmtId="181" formatCode="_-&quot;$&quot;* #,##0.00_-;\-&quot;$&quot;* #,##0.00_-;_-&quot;$&quot;* &quot;-&quot;??_-;_-@_-"/>
    <numFmt numFmtId="182" formatCode="[$$-409]#,##0.00;[Red][$$-409]#,##0.00"/>
    <numFmt numFmtId="183" formatCode="[$$-409]#,##0"/>
    <numFmt numFmtId="184" formatCode="[$USD]\ #,##0.00;[Red]\-[$USD]\ #,##0.00"/>
    <numFmt numFmtId="185" formatCode="_(* #,##0.0_);_(* \(#,##0.0\);_(* &quot;-&quot;??_);_(@_)"/>
    <numFmt numFmtId="186" formatCode="#,##0.0"/>
    <numFmt numFmtId="187" formatCode="0.000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2"/>
      <color theme="9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 tint="0.2499465926084170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 tint="0.24994659260841701"/>
      <name val="Calibri Light"/>
      <family val="2"/>
      <scheme val="major"/>
    </font>
    <font>
      <i/>
      <sz val="11"/>
      <color theme="1" tint="0.34998626667073579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0"/>
      <name val="Arial"/>
      <family val="2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22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4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0"/>
      <name val="Arial"/>
      <family val="2"/>
    </font>
    <font>
      <b/>
      <sz val="11"/>
      <color rgb="FF644C00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16"/>
      <color rgb="FF644C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44C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16" applyNumberFormat="0" applyFill="0" applyProtection="0">
      <alignment vertical="center"/>
    </xf>
    <xf numFmtId="0" fontId="25" fillId="0" borderId="0"/>
    <xf numFmtId="0" fontId="26" fillId="0" borderId="17" applyNumberFormat="0" applyFill="0" applyProtection="0">
      <alignment vertical="center"/>
    </xf>
    <xf numFmtId="0" fontId="27" fillId="0" borderId="18" applyNumberFormat="0" applyProtection="0">
      <alignment vertical="center"/>
    </xf>
    <xf numFmtId="174" fontId="28" fillId="38" borderId="0" applyFont="0" applyFill="0" applyBorder="0" applyAlignment="0" applyProtection="0"/>
    <xf numFmtId="174" fontId="28" fillId="35" borderId="0" applyFont="0" applyAlignment="0">
      <alignment horizontal="center" vertical="center" wrapText="1"/>
    </xf>
    <xf numFmtId="10" fontId="25" fillId="0" borderId="0" applyFont="0" applyFill="0" applyBorder="0" applyAlignment="0" applyProtection="0"/>
    <xf numFmtId="1" fontId="28" fillId="35" borderId="0" applyFont="0" applyFill="0" applyBorder="0" applyAlignment="0"/>
    <xf numFmtId="14" fontId="28" fillId="0" borderId="0" applyFont="0" applyFill="0" applyBorder="0" applyAlignment="0"/>
    <xf numFmtId="0" fontId="20" fillId="0" borderId="19" applyNumberFormat="0" applyFill="0" applyProtection="0">
      <alignment vertical="center"/>
    </xf>
    <xf numFmtId="0" fontId="28" fillId="38" borderId="18" applyNumberFormat="0" applyProtection="0">
      <alignment horizontal="right"/>
    </xf>
    <xf numFmtId="0" fontId="2" fillId="20" borderId="0" applyNumberFormat="0" applyBorder="0" applyProtection="0">
      <alignment vertical="center" wrapText="1"/>
    </xf>
    <xf numFmtId="0" fontId="2" fillId="20" borderId="0" applyBorder="0" applyProtection="0">
      <alignment horizontal="right" vertical="center" wrapText="1" indent="2"/>
    </xf>
    <xf numFmtId="174" fontId="28" fillId="38" borderId="0" applyFont="0" applyFill="0" applyBorder="0" applyProtection="0">
      <alignment horizontal="right" indent="2"/>
    </xf>
    <xf numFmtId="179" fontId="21" fillId="0" borderId="0" applyFont="0" applyFill="0" applyBorder="0" applyAlignment="0" applyProtection="0"/>
    <xf numFmtId="181" fontId="29" fillId="0" borderId="0" applyFont="0" applyFill="0" applyBorder="0" applyAlignment="0" applyProtection="0"/>
    <xf numFmtId="14" fontId="28" fillId="0" borderId="0" applyFont="0" applyFill="0" applyBorder="0" applyAlignment="0">
      <alignment vertical="center"/>
    </xf>
  </cellStyleXfs>
  <cellXfs count="553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3" borderId="1" xfId="0" applyFont="1" applyFill="1" applyBorder="1"/>
    <xf numFmtId="17" fontId="6" fillId="3" borderId="1" xfId="0" applyNumberFormat="1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164" fontId="7" fillId="0" borderId="0" xfId="2" applyNumberFormat="1" applyFont="1"/>
    <xf numFmtId="0" fontId="8" fillId="4" borderId="1" xfId="0" applyFont="1" applyFill="1" applyBorder="1"/>
    <xf numFmtId="0" fontId="7" fillId="2" borderId="1" xfId="0" applyFont="1" applyFill="1" applyBorder="1" applyAlignment="1">
      <alignment horizontal="left" indent="1"/>
    </xf>
    <xf numFmtId="0" fontId="5" fillId="0" borderId="0" xfId="0" applyFont="1" applyAlignment="1">
      <alignment horizontal="left" indent="2"/>
    </xf>
    <xf numFmtId="3" fontId="5" fillId="0" borderId="0" xfId="0" applyNumberFormat="1" applyFont="1"/>
    <xf numFmtId="0" fontId="1" fillId="0" borderId="0" xfId="4"/>
    <xf numFmtId="0" fontId="1" fillId="0" borderId="0" xfId="4" applyAlignment="1">
      <alignment horizontal="right"/>
    </xf>
    <xf numFmtId="3" fontId="1" fillId="0" borderId="0" xfId="4" applyNumberFormat="1" applyAlignment="1">
      <alignment horizontal="center"/>
    </xf>
    <xf numFmtId="9" fontId="1" fillId="10" borderId="0" xfId="4" applyNumberFormat="1" applyFill="1" applyAlignment="1">
      <alignment horizont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164" fontId="7" fillId="0" borderId="0" xfId="2" applyNumberFormat="1" applyFont="1" applyAlignment="1">
      <alignment horizontal="left"/>
    </xf>
    <xf numFmtId="164" fontId="5" fillId="0" borderId="0" xfId="2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5" fillId="0" borderId="0" xfId="6" applyFont="1"/>
    <xf numFmtId="9" fontId="5" fillId="0" borderId="0" xfId="6" applyNumberFormat="1" applyFont="1"/>
    <xf numFmtId="0" fontId="7" fillId="0" borderId="0" xfId="6" applyFont="1" applyAlignment="1">
      <alignment horizontal="center"/>
    </xf>
    <xf numFmtId="166" fontId="5" fillId="0" borderId="0" xfId="6" applyNumberFormat="1" applyFont="1"/>
    <xf numFmtId="0" fontId="5" fillId="0" borderId="0" xfId="6" applyFont="1" applyAlignment="1">
      <alignment horizontal="left" indent="1"/>
    </xf>
    <xf numFmtId="166" fontId="5" fillId="0" borderId="0" xfId="7" applyFont="1"/>
    <xf numFmtId="0" fontId="7" fillId="0" borderId="0" xfId="6" applyFont="1"/>
    <xf numFmtId="166" fontId="7" fillId="0" borderId="0" xfId="6" applyNumberFormat="1" applyFont="1"/>
    <xf numFmtId="0" fontId="7" fillId="25" borderId="0" xfId="6" applyFont="1" applyFill="1" applyAlignment="1">
      <alignment horizontal="center"/>
    </xf>
    <xf numFmtId="0" fontId="7" fillId="36" borderId="0" xfId="6" applyFont="1" applyFill="1"/>
    <xf numFmtId="166" fontId="7" fillId="36" borderId="0" xfId="7" applyFont="1" applyFill="1"/>
    <xf numFmtId="166" fontId="7" fillId="30" borderId="0" xfId="6" applyNumberFormat="1" applyFont="1" applyFill="1"/>
    <xf numFmtId="164" fontId="5" fillId="0" borderId="0" xfId="6" applyNumberFormat="1" applyFont="1"/>
    <xf numFmtId="0" fontId="7" fillId="25" borderId="0" xfId="6" applyFont="1" applyFill="1" applyAlignment="1">
      <alignment horizontal="right"/>
    </xf>
    <xf numFmtId="170" fontId="7" fillId="27" borderId="0" xfId="6" applyNumberFormat="1" applyFont="1" applyFill="1"/>
    <xf numFmtId="170" fontId="7" fillId="27" borderId="0" xfId="6" applyNumberFormat="1" applyFont="1" applyFill="1" applyAlignment="1">
      <alignment horizontal="right" vertical="center"/>
    </xf>
    <xf numFmtId="170" fontId="23" fillId="27" borderId="0" xfId="6" applyNumberFormat="1" applyFont="1" applyFill="1"/>
    <xf numFmtId="166" fontId="7" fillId="27" borderId="0" xfId="7" applyFont="1" applyFill="1" applyAlignment="1">
      <alignment horizontal="right" vertical="center"/>
    </xf>
    <xf numFmtId="9" fontId="7" fillId="27" borderId="0" xfId="8" applyFont="1" applyFill="1" applyAlignment="1">
      <alignment horizontal="right" vertical="center"/>
    </xf>
    <xf numFmtId="168" fontId="5" fillId="0" borderId="0" xfId="6" applyNumberFormat="1" applyFont="1"/>
    <xf numFmtId="171" fontId="5" fillId="0" borderId="0" xfId="6" applyNumberFormat="1" applyFont="1" applyAlignment="1">
      <alignment horizontal="center" vertical="center"/>
    </xf>
    <xf numFmtId="172" fontId="7" fillId="26" borderId="0" xfId="7" applyNumberFormat="1" applyFont="1" applyFill="1"/>
    <xf numFmtId="0" fontId="3" fillId="0" borderId="0" xfId="0" applyFont="1" applyAlignment="1">
      <alignment horizontal="right"/>
    </xf>
    <xf numFmtId="165" fontId="0" fillId="0" borderId="0" xfId="0" applyNumberFormat="1"/>
    <xf numFmtId="4" fontId="1" fillId="0" borderId="0" xfId="4" applyNumberFormat="1" applyAlignment="1">
      <alignment horizontal="center"/>
    </xf>
    <xf numFmtId="10" fontId="1" fillId="0" borderId="0" xfId="2" applyNumberFormat="1" applyBorder="1" applyAlignment="1">
      <alignment horizontal="center"/>
    </xf>
    <xf numFmtId="2" fontId="1" fillId="0" borderId="0" xfId="4" applyNumberFormat="1" applyAlignment="1">
      <alignment horizontal="center"/>
    </xf>
    <xf numFmtId="1" fontId="1" fillId="10" borderId="0" xfId="4" applyNumberFormat="1" applyFill="1" applyAlignment="1">
      <alignment horizontal="center"/>
    </xf>
    <xf numFmtId="1" fontId="1" fillId="0" borderId="0" xfId="4" applyNumberFormat="1" applyAlignment="1">
      <alignment horizontal="center"/>
    </xf>
    <xf numFmtId="175" fontId="31" fillId="8" borderId="0" xfId="6" applyNumberFormat="1" applyFont="1" applyFill="1" applyProtection="1">
      <protection hidden="1"/>
    </xf>
    <xf numFmtId="175" fontId="32" fillId="8" borderId="0" xfId="6" applyNumberFormat="1" applyFont="1" applyFill="1" applyAlignment="1" applyProtection="1">
      <alignment horizontal="right"/>
      <protection hidden="1"/>
    </xf>
    <xf numFmtId="176" fontId="31" fillId="8" borderId="0" xfId="6" applyNumberFormat="1" applyFont="1" applyFill="1" applyAlignment="1" applyProtection="1">
      <alignment horizontal="center"/>
      <protection hidden="1"/>
    </xf>
    <xf numFmtId="177" fontId="31" fillId="8" borderId="0" xfId="6" applyNumberFormat="1" applyFont="1" applyFill="1" applyProtection="1">
      <protection hidden="1"/>
    </xf>
    <xf numFmtId="175" fontId="32" fillId="8" borderId="1" xfId="6" applyNumberFormat="1" applyFont="1" applyFill="1" applyBorder="1" applyAlignment="1" applyProtection="1">
      <alignment horizontal="center" vertical="center"/>
      <protection hidden="1"/>
    </xf>
    <xf numFmtId="175" fontId="32" fillId="8" borderId="1" xfId="6" applyNumberFormat="1" applyFont="1" applyFill="1" applyBorder="1" applyAlignment="1" applyProtection="1">
      <alignment horizontal="center" vertical="center" wrapText="1"/>
      <protection hidden="1"/>
    </xf>
    <xf numFmtId="175" fontId="32" fillId="8" borderId="1" xfId="6" applyNumberFormat="1" applyFont="1" applyFill="1" applyBorder="1" applyAlignment="1" applyProtection="1">
      <alignment horizontal="center"/>
      <protection hidden="1"/>
    </xf>
    <xf numFmtId="175" fontId="31" fillId="8" borderId="21" xfId="6" applyNumberFormat="1" applyFont="1" applyFill="1" applyBorder="1" applyProtection="1">
      <protection hidden="1"/>
    </xf>
    <xf numFmtId="178" fontId="32" fillId="8" borderId="10" xfId="6" applyNumberFormat="1" applyFont="1" applyFill="1" applyBorder="1" applyAlignment="1" applyProtection="1">
      <alignment horizontal="center"/>
      <protection hidden="1"/>
    </xf>
    <xf numFmtId="0" fontId="36" fillId="13" borderId="1" xfId="6" applyFont="1" applyFill="1" applyBorder="1" applyAlignment="1" applyProtection="1">
      <alignment horizontal="right" vertical="center"/>
      <protection hidden="1"/>
    </xf>
    <xf numFmtId="0" fontId="36" fillId="13" borderId="1" xfId="6" applyFont="1" applyFill="1" applyBorder="1" applyAlignment="1" applyProtection="1">
      <alignment horizontal="center" vertical="center"/>
      <protection hidden="1"/>
    </xf>
    <xf numFmtId="177" fontId="36" fillId="13" borderId="21" xfId="6" applyNumberFormat="1" applyFont="1" applyFill="1" applyBorder="1" applyAlignment="1" applyProtection="1">
      <alignment horizontal="center" vertical="center"/>
      <protection hidden="1"/>
    </xf>
    <xf numFmtId="177" fontId="36" fillId="13" borderId="21" xfId="6" applyNumberFormat="1" applyFont="1" applyFill="1" applyBorder="1" applyAlignment="1" applyProtection="1">
      <alignment vertical="center"/>
      <protection hidden="1"/>
    </xf>
    <xf numFmtId="9" fontId="36" fillId="13" borderId="1" xfId="8" applyFont="1" applyFill="1" applyBorder="1" applyAlignment="1" applyProtection="1">
      <alignment horizontal="center" vertical="center"/>
      <protection hidden="1"/>
    </xf>
    <xf numFmtId="0" fontId="34" fillId="14" borderId="1" xfId="6" applyFont="1" applyFill="1" applyBorder="1" applyAlignment="1" applyProtection="1">
      <alignment horizontal="right"/>
      <protection hidden="1"/>
    </xf>
    <xf numFmtId="0" fontId="34" fillId="14" borderId="1" xfId="6" applyFont="1" applyFill="1" applyBorder="1" applyAlignment="1" applyProtection="1">
      <alignment horizontal="center"/>
      <protection hidden="1"/>
    </xf>
    <xf numFmtId="178" fontId="31" fillId="14" borderId="10" xfId="6" applyNumberFormat="1" applyFont="1" applyFill="1" applyBorder="1" applyAlignment="1" applyProtection="1">
      <alignment horizontal="center"/>
      <protection hidden="1"/>
    </xf>
    <xf numFmtId="177" fontId="34" fillId="0" borderId="21" xfId="6" applyNumberFormat="1" applyFont="1" applyBorder="1" applyAlignment="1" applyProtection="1">
      <alignment horizontal="center"/>
      <protection hidden="1"/>
    </xf>
    <xf numFmtId="9" fontId="31" fillId="8" borderId="1" xfId="8" applyFont="1" applyFill="1" applyBorder="1" applyAlignment="1" applyProtection="1">
      <alignment horizontal="center"/>
      <protection hidden="1"/>
    </xf>
    <xf numFmtId="175" fontId="32" fillId="8" borderId="1" xfId="6" applyNumberFormat="1" applyFont="1" applyFill="1" applyBorder="1" applyAlignment="1" applyProtection="1">
      <alignment horizontal="right"/>
      <protection hidden="1"/>
    </xf>
    <xf numFmtId="178" fontId="32" fillId="8" borderId="1" xfId="24" applyNumberFormat="1" applyFont="1" applyFill="1" applyBorder="1" applyAlignment="1" applyProtection="1">
      <alignment horizontal="center"/>
      <protection hidden="1"/>
    </xf>
    <xf numFmtId="175" fontId="37" fillId="13" borderId="24" xfId="6" applyNumberFormat="1" applyFont="1" applyFill="1" applyBorder="1" applyAlignment="1" applyProtection="1">
      <alignment horizontal="center"/>
      <protection hidden="1"/>
    </xf>
    <xf numFmtId="175" fontId="37" fillId="13" borderId="25" xfId="6" applyNumberFormat="1" applyFont="1" applyFill="1" applyBorder="1" applyAlignment="1" applyProtection="1">
      <alignment horizontal="center"/>
      <protection hidden="1"/>
    </xf>
    <xf numFmtId="175" fontId="32" fillId="8" borderId="8" xfId="6" applyNumberFormat="1" applyFont="1" applyFill="1" applyBorder="1" applyProtection="1">
      <protection hidden="1"/>
    </xf>
    <xf numFmtId="177" fontId="32" fillId="8" borderId="0" xfId="6" applyNumberFormat="1" applyFont="1" applyFill="1" applyProtection="1">
      <protection hidden="1"/>
    </xf>
    <xf numFmtId="180" fontId="32" fillId="8" borderId="0" xfId="24" applyNumberFormat="1" applyFont="1" applyFill="1" applyBorder="1" applyAlignment="1" applyProtection="1">
      <alignment horizontal="center"/>
      <protection hidden="1"/>
    </xf>
    <xf numFmtId="175" fontId="34" fillId="8" borderId="8" xfId="6" applyNumberFormat="1" applyFont="1" applyFill="1" applyBorder="1" applyAlignment="1" applyProtection="1">
      <alignment horizontal="center"/>
      <protection hidden="1"/>
    </xf>
    <xf numFmtId="177" fontId="34" fillId="8" borderId="0" xfId="6" applyNumberFormat="1" applyFont="1" applyFill="1" applyAlignment="1" applyProtection="1">
      <alignment horizontal="center"/>
      <protection hidden="1"/>
    </xf>
    <xf numFmtId="175" fontId="34" fillId="8" borderId="0" xfId="24" applyNumberFormat="1" applyFont="1" applyFill="1" applyBorder="1" applyAlignment="1" applyProtection="1">
      <alignment horizontal="center"/>
      <protection hidden="1"/>
    </xf>
    <xf numFmtId="178" fontId="31" fillId="8" borderId="21" xfId="6" applyNumberFormat="1" applyFont="1" applyFill="1" applyBorder="1" applyAlignment="1" applyProtection="1">
      <alignment horizontal="center"/>
      <protection hidden="1"/>
    </xf>
    <xf numFmtId="178" fontId="32" fillId="8" borderId="1" xfId="6" applyNumberFormat="1" applyFont="1" applyFill="1" applyBorder="1" applyAlignment="1" applyProtection="1">
      <alignment horizontal="center"/>
      <protection hidden="1"/>
    </xf>
    <xf numFmtId="178" fontId="38" fillId="8" borderId="23" xfId="6" applyNumberFormat="1" applyFont="1" applyFill="1" applyBorder="1" applyAlignment="1" applyProtection="1">
      <alignment horizontal="center" vertical="center"/>
      <protection hidden="1"/>
    </xf>
    <xf numFmtId="0" fontId="32" fillId="8" borderId="0" xfId="6" applyFont="1" applyFill="1" applyAlignment="1" applyProtection="1">
      <alignment horizontal="center"/>
      <protection hidden="1"/>
    </xf>
    <xf numFmtId="177" fontId="32" fillId="8" borderId="0" xfId="6" applyNumberFormat="1" applyFont="1" applyFill="1" applyAlignment="1" applyProtection="1">
      <alignment horizontal="center" vertical="center"/>
      <protection hidden="1"/>
    </xf>
    <xf numFmtId="178" fontId="38" fillId="8" borderId="0" xfId="24" applyNumberFormat="1" applyFont="1" applyFill="1" applyBorder="1" applyAlignment="1" applyProtection="1">
      <alignment horizontal="center" vertical="center"/>
      <protection hidden="1"/>
    </xf>
    <xf numFmtId="178" fontId="38" fillId="8" borderId="23" xfId="24" applyNumberFormat="1" applyFont="1" applyFill="1" applyBorder="1" applyAlignment="1" applyProtection="1">
      <alignment horizontal="center" vertical="center"/>
      <protection hidden="1"/>
    </xf>
    <xf numFmtId="178" fontId="32" fillId="8" borderId="0" xfId="6" applyNumberFormat="1" applyFont="1" applyFill="1" applyAlignment="1" applyProtection="1">
      <alignment horizontal="center"/>
      <protection hidden="1"/>
    </xf>
    <xf numFmtId="175" fontId="34" fillId="8" borderId="0" xfId="6" applyNumberFormat="1" applyFont="1" applyFill="1" applyAlignment="1" applyProtection="1">
      <alignment horizontal="center"/>
      <protection hidden="1"/>
    </xf>
    <xf numFmtId="175" fontId="32" fillId="27" borderId="1" xfId="6" applyNumberFormat="1" applyFont="1" applyFill="1" applyBorder="1" applyAlignment="1" applyProtection="1">
      <alignment horizontal="center" vertical="center"/>
      <protection hidden="1"/>
    </xf>
    <xf numFmtId="175" fontId="32" fillId="27" borderId="1" xfId="6" applyNumberFormat="1" applyFont="1" applyFill="1" applyBorder="1" applyAlignment="1" applyProtection="1">
      <alignment horizontal="center" vertical="center" wrapText="1"/>
      <protection hidden="1"/>
    </xf>
    <xf numFmtId="177" fontId="32" fillId="27" borderId="20" xfId="6" applyNumberFormat="1" applyFont="1" applyFill="1" applyBorder="1" applyAlignment="1" applyProtection="1">
      <alignment horizontal="center" vertical="center"/>
      <protection hidden="1"/>
    </xf>
    <xf numFmtId="0" fontId="31" fillId="0" borderId="1" xfId="6" applyFont="1" applyBorder="1" applyAlignment="1" applyProtection="1">
      <alignment horizontal="center" vertical="center"/>
      <protection hidden="1"/>
    </xf>
    <xf numFmtId="0" fontId="34" fillId="0" borderId="1" xfId="6" applyFont="1" applyBorder="1" applyAlignment="1" applyProtection="1">
      <alignment horizontal="center"/>
      <protection hidden="1"/>
    </xf>
    <xf numFmtId="177" fontId="34" fillId="0" borderId="1" xfId="6" applyNumberFormat="1" applyFont="1" applyBorder="1" applyAlignment="1" applyProtection="1">
      <alignment horizontal="center"/>
      <protection hidden="1"/>
    </xf>
    <xf numFmtId="178" fontId="31" fillId="0" borderId="10" xfId="6" applyNumberFormat="1" applyFont="1" applyBorder="1" applyAlignment="1" applyProtection="1">
      <alignment horizontal="center"/>
      <protection hidden="1"/>
    </xf>
    <xf numFmtId="2" fontId="32" fillId="27" borderId="1" xfId="23" applyNumberFormat="1" applyFont="1" applyFill="1" applyBorder="1" applyAlignment="1" applyProtection="1">
      <alignment horizontal="center" vertical="center"/>
      <protection hidden="1"/>
    </xf>
    <xf numFmtId="180" fontId="32" fillId="27" borderId="1" xfId="23" applyNumberFormat="1" applyFont="1" applyFill="1" applyBorder="1" applyAlignment="1" applyProtection="1">
      <alignment horizontal="center" vertical="center"/>
      <protection hidden="1"/>
    </xf>
    <xf numFmtId="178" fontId="32" fillId="27" borderId="10" xfId="6" applyNumberFormat="1" applyFont="1" applyFill="1" applyBorder="1" applyAlignment="1" applyProtection="1">
      <alignment horizontal="center"/>
      <protection hidden="1"/>
    </xf>
    <xf numFmtId="10" fontId="5" fillId="1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2" fillId="19" borderId="0" xfId="4" applyFont="1" applyFill="1"/>
    <xf numFmtId="10" fontId="7" fillId="0" borderId="0" xfId="6" applyNumberFormat="1" applyFont="1"/>
    <xf numFmtId="166" fontId="5" fillId="0" borderId="0" xfId="2" applyNumberFormat="1" applyFont="1" applyAlignment="1">
      <alignment horizontal="left"/>
    </xf>
    <xf numFmtId="10" fontId="5" fillId="0" borderId="0" xfId="2" applyNumberFormat="1" applyFont="1" applyAlignment="1">
      <alignment horizontal="left"/>
    </xf>
    <xf numFmtId="166" fontId="7" fillId="36" borderId="0" xfId="2" applyNumberFormat="1" applyFont="1" applyFill="1" applyAlignment="1">
      <alignment horizontal="left"/>
    </xf>
    <xf numFmtId="10" fontId="7" fillId="36" borderId="0" xfId="2" applyNumberFormat="1" applyFont="1" applyFill="1" applyAlignment="1">
      <alignment horizontal="left"/>
    </xf>
    <xf numFmtId="166" fontId="7" fillId="0" borderId="0" xfId="7" applyFont="1" applyAlignment="1">
      <alignment horizontal="center"/>
    </xf>
    <xf numFmtId="182" fontId="0" fillId="0" borderId="0" xfId="0" applyNumberFormat="1"/>
    <xf numFmtId="182" fontId="0" fillId="0" borderId="0" xfId="0" applyNumberFormat="1" applyAlignment="1">
      <alignment horizontal="center"/>
    </xf>
    <xf numFmtId="182" fontId="0" fillId="10" borderId="0" xfId="0" applyNumberFormat="1" applyFill="1" applyAlignment="1">
      <alignment horizontal="center"/>
    </xf>
    <xf numFmtId="168" fontId="5" fillId="0" borderId="0" xfId="0" applyNumberFormat="1" applyFont="1"/>
    <xf numFmtId="182" fontId="5" fillId="0" borderId="0" xfId="0" applyNumberFormat="1" applyFont="1"/>
    <xf numFmtId="182" fontId="1" fillId="0" borderId="0" xfId="4" applyNumberFormat="1"/>
    <xf numFmtId="0" fontId="2" fillId="19" borderId="5" xfId="4" applyFont="1" applyFill="1" applyBorder="1" applyAlignment="1">
      <alignment horizontal="center"/>
    </xf>
    <xf numFmtId="4" fontId="1" fillId="10" borderId="0" xfId="4" applyNumberFormat="1" applyFill="1" applyAlignment="1">
      <alignment horizontal="center"/>
    </xf>
    <xf numFmtId="0" fontId="3" fillId="0" borderId="0" xfId="0" applyFont="1"/>
    <xf numFmtId="0" fontId="3" fillId="0" borderId="28" xfId="0" applyFont="1" applyBorder="1"/>
    <xf numFmtId="0" fontId="3" fillId="0" borderId="29" xfId="0" applyFont="1" applyBorder="1" applyAlignment="1">
      <alignment horizontal="center" vertical="center"/>
    </xf>
    <xf numFmtId="166" fontId="0" fillId="0" borderId="0" xfId="3" applyFont="1"/>
    <xf numFmtId="183" fontId="0" fillId="0" borderId="0" xfId="0" applyNumberFormat="1"/>
    <xf numFmtId="183" fontId="0" fillId="0" borderId="0" xfId="3" applyNumberFormat="1" applyFont="1" applyBorder="1"/>
    <xf numFmtId="183" fontId="0" fillId="0" borderId="34" xfId="0" applyNumberFormat="1" applyBorder="1"/>
    <xf numFmtId="0" fontId="3" fillId="0" borderId="22" xfId="0" applyFont="1" applyBorder="1"/>
    <xf numFmtId="183" fontId="3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83" fontId="0" fillId="0" borderId="0" xfId="0" applyNumberFormat="1" applyAlignment="1">
      <alignment horizontal="center" vertical="center"/>
    </xf>
    <xf numFmtId="0" fontId="0" fillId="0" borderId="22" xfId="0" applyBorder="1"/>
    <xf numFmtId="0" fontId="3" fillId="9" borderId="30" xfId="0" applyFont="1" applyFill="1" applyBorder="1" applyAlignment="1">
      <alignment horizontal="center"/>
    </xf>
    <xf numFmtId="183" fontId="3" fillId="9" borderId="32" xfId="0" applyNumberFormat="1" applyFont="1" applyFill="1" applyBorder="1"/>
    <xf numFmtId="183" fontId="3" fillId="9" borderId="35" xfId="0" applyNumberFormat="1" applyFont="1" applyFill="1" applyBorder="1"/>
    <xf numFmtId="0" fontId="46" fillId="0" borderId="0" xfId="0" applyFont="1"/>
    <xf numFmtId="0" fontId="3" fillId="0" borderId="5" xfId="0" applyFont="1" applyBorder="1"/>
    <xf numFmtId="183" fontId="3" fillId="0" borderId="5" xfId="0" applyNumberFormat="1" applyFont="1" applyBorder="1" applyAlignment="1">
      <alignment horizontal="center" vertical="center"/>
    </xf>
    <xf numFmtId="178" fontId="32" fillId="27" borderId="1" xfId="6" applyNumberFormat="1" applyFont="1" applyFill="1" applyBorder="1" applyAlignment="1" applyProtection="1">
      <alignment horizontal="center"/>
      <protection hidden="1"/>
    </xf>
    <xf numFmtId="175" fontId="32" fillId="8" borderId="0" xfId="6" applyNumberFormat="1" applyFont="1" applyFill="1" applyAlignment="1" applyProtection="1">
      <alignment horizontal="center"/>
      <protection hidden="1"/>
    </xf>
    <xf numFmtId="178" fontId="32" fillId="0" borderId="0" xfId="6" applyNumberFormat="1" applyFont="1" applyAlignment="1" applyProtection="1">
      <alignment horizontal="center"/>
      <protection hidden="1"/>
    </xf>
    <xf numFmtId="181" fontId="36" fillId="0" borderId="0" xfId="6" applyNumberFormat="1" applyFont="1" applyAlignment="1" applyProtection="1">
      <alignment vertical="center"/>
      <protection hidden="1"/>
    </xf>
    <xf numFmtId="181" fontId="31" fillId="0" borderId="0" xfId="6" applyNumberFormat="1" applyFont="1" applyProtection="1">
      <protection hidden="1"/>
    </xf>
    <xf numFmtId="175" fontId="32" fillId="27" borderId="21" xfId="6" applyNumberFormat="1" applyFont="1" applyFill="1" applyBorder="1" applyAlignment="1" applyProtection="1">
      <alignment horizontal="center" vertical="center" wrapText="1"/>
      <protection hidden="1"/>
    </xf>
    <xf numFmtId="181" fontId="36" fillId="13" borderId="21" xfId="6" applyNumberFormat="1" applyFont="1" applyFill="1" applyBorder="1" applyAlignment="1" applyProtection="1">
      <alignment vertical="center"/>
      <protection hidden="1"/>
    </xf>
    <xf numFmtId="175" fontId="31" fillId="0" borderId="0" xfId="6" applyNumberFormat="1" applyFont="1" applyProtection="1">
      <protection hidden="1"/>
    </xf>
    <xf numFmtId="175" fontId="32" fillId="0" borderId="0" xfId="6" applyNumberFormat="1" applyFont="1" applyAlignment="1" applyProtection="1">
      <alignment horizontal="center" vertical="center" wrapText="1"/>
      <protection hidden="1"/>
    </xf>
    <xf numFmtId="175" fontId="31" fillId="0" borderId="0" xfId="6" applyNumberFormat="1" applyFont="1" applyAlignment="1" applyProtection="1">
      <alignment horizontal="center"/>
      <protection hidden="1"/>
    </xf>
    <xf numFmtId="175" fontId="32" fillId="0" borderId="0" xfId="6" applyNumberFormat="1" applyFont="1" applyAlignment="1" applyProtection="1">
      <alignment horizontal="center"/>
      <protection hidden="1"/>
    </xf>
    <xf numFmtId="175" fontId="32" fillId="27" borderId="10" xfId="6" applyNumberFormat="1" applyFont="1" applyFill="1" applyBorder="1" applyAlignment="1" applyProtection="1">
      <alignment horizontal="center" vertical="center" wrapText="1"/>
      <protection hidden="1"/>
    </xf>
    <xf numFmtId="175" fontId="32" fillId="27" borderId="7" xfId="6" applyNumberFormat="1" applyFont="1" applyFill="1" applyBorder="1" applyAlignment="1" applyProtection="1">
      <alignment horizontal="center" vertical="center" wrapText="1"/>
      <protection hidden="1"/>
    </xf>
    <xf numFmtId="175" fontId="32" fillId="27" borderId="9" xfId="6" applyNumberFormat="1" applyFont="1" applyFill="1" applyBorder="1" applyAlignment="1" applyProtection="1">
      <alignment horizontal="center" vertical="center" wrapText="1"/>
      <protection hidden="1"/>
    </xf>
    <xf numFmtId="181" fontId="36" fillId="13" borderId="1" xfId="6" applyNumberFormat="1" applyFont="1" applyFill="1" applyBorder="1" applyAlignment="1" applyProtection="1">
      <alignment vertical="center"/>
      <protection hidden="1"/>
    </xf>
    <xf numFmtId="43" fontId="5" fillId="0" borderId="0" xfId="6" applyNumberFormat="1" applyFont="1"/>
    <xf numFmtId="166" fontId="7" fillId="14" borderId="0" xfId="6" applyNumberFormat="1" applyFont="1" applyFill="1"/>
    <xf numFmtId="0" fontId="0" fillId="10" borderId="36" xfId="0" applyFill="1" applyBorder="1" applyProtection="1">
      <protection locked="0"/>
    </xf>
    <xf numFmtId="2" fontId="0" fillId="10" borderId="36" xfId="0" applyNumberFormat="1" applyFill="1" applyBorder="1" applyProtection="1">
      <protection locked="0"/>
    </xf>
    <xf numFmtId="9" fontId="0" fillId="0" borderId="0" xfId="0" applyNumberFormat="1" applyAlignment="1">
      <alignment horizontal="center"/>
    </xf>
    <xf numFmtId="184" fontId="32" fillId="27" borderId="11" xfId="6" applyNumberFormat="1" applyFont="1" applyFill="1" applyBorder="1" applyAlignment="1" applyProtection="1">
      <alignment horizontal="center"/>
      <protection hidden="1"/>
    </xf>
    <xf numFmtId="183" fontId="3" fillId="0" borderId="0" xfId="0" applyNumberFormat="1" applyFont="1" applyAlignment="1">
      <alignment horizontal="center" vertical="center"/>
    </xf>
    <xf numFmtId="3" fontId="7" fillId="5" borderId="1" xfId="0" applyNumberFormat="1" applyFont="1" applyFill="1" applyBorder="1"/>
    <xf numFmtId="3" fontId="7" fillId="2" borderId="0" xfId="0" applyNumberFormat="1" applyFont="1" applyFill="1"/>
    <xf numFmtId="3" fontId="5" fillId="5" borderId="1" xfId="0" applyNumberFormat="1" applyFont="1" applyFill="1" applyBorder="1"/>
    <xf numFmtId="3" fontId="6" fillId="4" borderId="1" xfId="0" applyNumberFormat="1" applyFont="1" applyFill="1" applyBorder="1"/>
    <xf numFmtId="3" fontId="10" fillId="5" borderId="0" xfId="0" applyNumberFormat="1" applyFont="1" applyFill="1"/>
    <xf numFmtId="3" fontId="5" fillId="8" borderId="1" xfId="3" applyNumberFormat="1" applyFont="1" applyFill="1" applyBorder="1"/>
    <xf numFmtId="9" fontId="3" fillId="9" borderId="6" xfId="0" applyNumberFormat="1" applyFont="1" applyFill="1" applyBorder="1"/>
    <xf numFmtId="183" fontId="0" fillId="0" borderId="6" xfId="0" applyNumberFormat="1" applyBorder="1"/>
    <xf numFmtId="2" fontId="0" fillId="0" borderId="6" xfId="0" applyNumberFormat="1" applyBorder="1"/>
    <xf numFmtId="9" fontId="3" fillId="9" borderId="15" xfId="0" applyNumberFormat="1" applyFont="1" applyFill="1" applyBorder="1"/>
    <xf numFmtId="0" fontId="3" fillId="9" borderId="5" xfId="0" applyFont="1" applyFill="1" applyBorder="1" applyAlignment="1">
      <alignment horizontal="center" vertical="center"/>
    </xf>
    <xf numFmtId="183" fontId="0" fillId="25" borderId="22" xfId="0" applyNumberFormat="1" applyFill="1" applyBorder="1" applyAlignment="1">
      <alignment horizontal="center" vertical="center"/>
    </xf>
    <xf numFmtId="164" fontId="1" fillId="25" borderId="22" xfId="2" applyNumberFormat="1" applyFont="1" applyFill="1" applyBorder="1" applyAlignment="1">
      <alignment horizontal="center" vertical="center"/>
    </xf>
    <xf numFmtId="183" fontId="3" fillId="25" borderId="22" xfId="0" applyNumberFormat="1" applyFont="1" applyFill="1" applyBorder="1" applyAlignment="1">
      <alignment horizontal="center" vertical="center"/>
    </xf>
    <xf numFmtId="0" fontId="3" fillId="25" borderId="22" xfId="0" applyFont="1" applyFill="1" applyBorder="1"/>
    <xf numFmtId="0" fontId="3" fillId="0" borderId="13" xfId="0" applyFont="1" applyBorder="1"/>
    <xf numFmtId="183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3" fontId="3" fillId="0" borderId="0" xfId="0" applyNumberFormat="1" applyFont="1" applyAlignment="1">
      <alignment vertical="center"/>
    </xf>
    <xf numFmtId="183" fontId="3" fillId="25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9" borderId="12" xfId="0" applyFill="1" applyBorder="1"/>
    <xf numFmtId="0" fontId="0" fillId="9" borderId="13" xfId="0" applyFill="1" applyBorder="1"/>
    <xf numFmtId="0" fontId="3" fillId="9" borderId="13" xfId="0" applyFont="1" applyFill="1" applyBorder="1" applyAlignment="1">
      <alignment horizontal="right"/>
    </xf>
    <xf numFmtId="0" fontId="0" fillId="9" borderId="8" xfId="0" applyFill="1" applyBorder="1"/>
    <xf numFmtId="0" fontId="0" fillId="9" borderId="0" xfId="0" applyFill="1"/>
    <xf numFmtId="0" fontId="3" fillId="9" borderId="0" xfId="0" applyFont="1" applyFill="1" applyAlignment="1">
      <alignment horizontal="right"/>
    </xf>
    <xf numFmtId="183" fontId="0" fillId="9" borderId="8" xfId="0" applyNumberFormat="1" applyFill="1" applyBorder="1" applyAlignment="1">
      <alignment horizontal="center" vertical="center"/>
    </xf>
    <xf numFmtId="183" fontId="0" fillId="9" borderId="0" xfId="0" applyNumberFormat="1" applyFill="1" applyAlignment="1">
      <alignment horizontal="center" vertical="center"/>
    </xf>
    <xf numFmtId="183" fontId="0" fillId="9" borderId="11" xfId="0" applyNumberFormat="1" applyFill="1" applyBorder="1" applyAlignment="1">
      <alignment horizontal="center" vertical="center"/>
    </xf>
    <xf numFmtId="183" fontId="0" fillId="9" borderId="5" xfId="0" applyNumberFormat="1" applyFill="1" applyBorder="1" applyAlignment="1">
      <alignment horizontal="center" vertical="center"/>
    </xf>
    <xf numFmtId="0" fontId="0" fillId="9" borderId="5" xfId="0" applyFill="1" applyBorder="1"/>
    <xf numFmtId="0" fontId="3" fillId="9" borderId="5" xfId="0" applyFont="1" applyFill="1" applyBorder="1" applyAlignment="1">
      <alignment horizontal="right"/>
    </xf>
    <xf numFmtId="175" fontId="50" fillId="8" borderId="0" xfId="6" applyNumberFormat="1" applyFont="1" applyFill="1" applyProtection="1">
      <protection hidden="1"/>
    </xf>
    <xf numFmtId="175" fontId="50" fillId="0" borderId="0" xfId="6" applyNumberFormat="1" applyFont="1" applyProtection="1">
      <protection hidden="1"/>
    </xf>
    <xf numFmtId="170" fontId="5" fillId="0" borderId="0" xfId="6" applyNumberFormat="1" applyFont="1" applyAlignment="1">
      <alignment horizontal="center"/>
    </xf>
    <xf numFmtId="0" fontId="3" fillId="0" borderId="31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175" fontId="36" fillId="13" borderId="22" xfId="6" applyNumberFormat="1" applyFont="1" applyFill="1" applyBorder="1" applyAlignment="1" applyProtection="1">
      <alignment vertical="center"/>
      <protection hidden="1"/>
    </xf>
    <xf numFmtId="175" fontId="36" fillId="13" borderId="21" xfId="6" applyNumberFormat="1" applyFont="1" applyFill="1" applyBorder="1" applyAlignment="1" applyProtection="1">
      <alignment horizontal="right" vertical="center"/>
      <protection hidden="1"/>
    </xf>
    <xf numFmtId="183" fontId="3" fillId="25" borderId="22" xfId="0" applyNumberFormat="1" applyFont="1" applyFill="1" applyBorder="1" applyAlignment="1">
      <alignment horizontal="center"/>
    </xf>
    <xf numFmtId="185" fontId="7" fillId="27" borderId="0" xfId="7" applyNumberFormat="1" applyFont="1" applyFill="1" applyAlignment="1">
      <alignment horizontal="right" vertical="center"/>
    </xf>
    <xf numFmtId="170" fontId="7" fillId="27" borderId="0" xfId="7" applyNumberFormat="1" applyFont="1" applyFill="1" applyAlignment="1">
      <alignment horizontal="right" vertical="center"/>
    </xf>
    <xf numFmtId="170" fontId="5" fillId="0" borderId="0" xfId="7" applyNumberFormat="1" applyFont="1"/>
    <xf numFmtId="170" fontId="7" fillId="30" borderId="0" xfId="6" applyNumberFormat="1" applyFont="1" applyFill="1"/>
    <xf numFmtId="170" fontId="5" fillId="0" borderId="0" xfId="6" applyNumberFormat="1" applyFont="1"/>
    <xf numFmtId="170" fontId="7" fillId="0" borderId="0" xfId="6" applyNumberFormat="1" applyFont="1"/>
    <xf numFmtId="170" fontId="7" fillId="14" borderId="0" xfId="6" applyNumberFormat="1" applyFont="1" applyFill="1"/>
    <xf numFmtId="164" fontId="3" fillId="0" borderId="0" xfId="2" applyNumberFormat="1" applyFont="1" applyBorder="1" applyAlignment="1">
      <alignment horizontal="center" vertical="center"/>
    </xf>
    <xf numFmtId="183" fontId="3" fillId="0" borderId="22" xfId="0" applyNumberFormat="1" applyFont="1" applyBorder="1" applyAlignment="1">
      <alignment horizontal="center"/>
    </xf>
    <xf numFmtId="175" fontId="36" fillId="13" borderId="0" xfId="6" applyNumberFormat="1" applyFont="1" applyFill="1" applyAlignment="1" applyProtection="1">
      <alignment horizontal="right" vertical="center"/>
      <protection hidden="1"/>
    </xf>
    <xf numFmtId="0" fontId="36" fillId="13" borderId="0" xfId="6" applyFont="1" applyFill="1" applyAlignment="1" applyProtection="1">
      <alignment horizontal="right" vertical="center"/>
      <protection hidden="1"/>
    </xf>
    <xf numFmtId="0" fontId="47" fillId="0" borderId="0" xfId="4" applyFont="1"/>
    <xf numFmtId="0" fontId="47" fillId="0" borderId="0" xfId="4" applyFont="1" applyAlignment="1">
      <alignment vertical="center"/>
    </xf>
    <xf numFmtId="0" fontId="3" fillId="0" borderId="12" xfId="0" applyFont="1" applyBorder="1"/>
    <xf numFmtId="0" fontId="46" fillId="0" borderId="13" xfId="0" applyFont="1" applyBorder="1"/>
    <xf numFmtId="0" fontId="3" fillId="9" borderId="22" xfId="0" applyFont="1" applyFill="1" applyBorder="1" applyAlignment="1">
      <alignment horizontal="center" vertical="center"/>
    </xf>
    <xf numFmtId="183" fontId="3" fillId="0" borderId="13" xfId="0" applyNumberFormat="1" applyFont="1" applyBorder="1" applyAlignment="1">
      <alignment vertical="center"/>
    </xf>
    <xf numFmtId="0" fontId="0" fillId="0" borderId="14" xfId="0" applyBorder="1"/>
    <xf numFmtId="0" fontId="3" fillId="0" borderId="8" xfId="0" applyFont="1" applyBorder="1"/>
    <xf numFmtId="10" fontId="0" fillId="0" borderId="6" xfId="2" applyNumberFormat="1" applyFont="1" applyBorder="1" applyAlignment="1">
      <alignment horizontal="center"/>
    </xf>
    <xf numFmtId="9" fontId="3" fillId="9" borderId="8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3" fillId="25" borderId="0" xfId="0" applyFont="1" applyFill="1"/>
    <xf numFmtId="0" fontId="0" fillId="25" borderId="0" xfId="0" applyFill="1"/>
    <xf numFmtId="165" fontId="0" fillId="25" borderId="0" xfId="0" applyNumberFormat="1" applyFill="1" applyAlignment="1">
      <alignment horizontal="center" vertical="center"/>
    </xf>
    <xf numFmtId="0" fontId="3" fillId="0" borderId="0" xfId="0" applyFont="1" applyAlignment="1">
      <alignment horizontal="left"/>
    </xf>
    <xf numFmtId="164" fontId="45" fillId="0" borderId="0" xfId="2" applyNumberFormat="1" applyFont="1" applyBorder="1" applyAlignment="1">
      <alignment horizontal="center"/>
    </xf>
    <xf numFmtId="0" fontId="0" fillId="0" borderId="11" xfId="0" applyBorder="1"/>
    <xf numFmtId="0" fontId="3" fillId="0" borderId="5" xfId="0" applyFont="1" applyBorder="1" applyAlignment="1">
      <alignment horizontal="left"/>
    </xf>
    <xf numFmtId="0" fontId="0" fillId="0" borderId="5" xfId="0" applyBorder="1"/>
    <xf numFmtId="164" fontId="0" fillId="0" borderId="5" xfId="2" applyNumberFormat="1" applyFont="1" applyBorder="1" applyAlignment="1">
      <alignment horizontal="center" vertical="center"/>
    </xf>
    <xf numFmtId="0" fontId="0" fillId="0" borderId="15" xfId="0" applyBorder="1"/>
    <xf numFmtId="186" fontId="1" fillId="0" borderId="0" xfId="4" applyNumberFormat="1" applyAlignment="1">
      <alignment horizontal="center"/>
    </xf>
    <xf numFmtId="3" fontId="1" fillId="10" borderId="0" xfId="4" applyNumberFormat="1" applyFill="1" applyAlignment="1">
      <alignment horizontal="center"/>
    </xf>
    <xf numFmtId="0" fontId="3" fillId="9" borderId="14" xfId="0" applyFont="1" applyFill="1" applyBorder="1"/>
    <xf numFmtId="9" fontId="1" fillId="10" borderId="0" xfId="4" applyNumberFormat="1" applyFill="1" applyAlignment="1">
      <alignment horizontal="right"/>
    </xf>
    <xf numFmtId="182" fontId="1" fillId="0" borderId="0" xfId="4" applyNumberFormat="1" applyAlignment="1">
      <alignment horizontal="right"/>
    </xf>
    <xf numFmtId="0" fontId="2" fillId="19" borderId="5" xfId="4" applyFont="1" applyFill="1" applyBorder="1"/>
    <xf numFmtId="164" fontId="0" fillId="0" borderId="0" xfId="2" applyNumberFormat="1" applyFont="1" applyBorder="1" applyAlignment="1">
      <alignment horizontal="center"/>
    </xf>
    <xf numFmtId="10" fontId="0" fillId="25" borderId="0" xfId="2" applyNumberFormat="1" applyFont="1" applyFill="1" applyBorder="1" applyAlignment="1">
      <alignment horizontal="center" vertical="center"/>
    </xf>
    <xf numFmtId="10" fontId="3" fillId="9" borderId="6" xfId="0" applyNumberFormat="1" applyFont="1" applyFill="1" applyBorder="1"/>
    <xf numFmtId="0" fontId="1" fillId="0" borderId="0" xfId="4" applyProtection="1">
      <protection hidden="1"/>
    </xf>
    <xf numFmtId="0" fontId="1" fillId="0" borderId="0" xfId="4" applyAlignment="1" applyProtection="1">
      <alignment horizontal="right"/>
      <protection hidden="1"/>
    </xf>
    <xf numFmtId="10" fontId="1" fillId="0" borderId="0" xfId="4" applyNumberFormat="1" applyProtection="1">
      <protection hidden="1"/>
    </xf>
    <xf numFmtId="0" fontId="5" fillId="0" borderId="0" xfId="0" applyFont="1" applyProtection="1">
      <protection hidden="1"/>
    </xf>
    <xf numFmtId="0" fontId="10" fillId="0" borderId="0" xfId="0" applyFont="1" applyAlignment="1" applyProtection="1">
      <alignment horizontal="right" vertical="center"/>
      <protection hidden="1"/>
    </xf>
    <xf numFmtId="10" fontId="10" fillId="1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6" applyFont="1" applyProtection="1">
      <protection hidden="1"/>
    </xf>
    <xf numFmtId="0" fontId="30" fillId="0" borderId="0" xfId="0" applyFont="1" applyProtection="1">
      <protection hidden="1"/>
    </xf>
    <xf numFmtId="0" fontId="48" fillId="0" borderId="0" xfId="4" applyFont="1" applyProtection="1">
      <protection hidden="1"/>
    </xf>
    <xf numFmtId="0" fontId="49" fillId="0" borderId="0" xfId="0" applyFont="1" applyProtection="1">
      <protection hidden="1"/>
    </xf>
    <xf numFmtId="0" fontId="15" fillId="0" borderId="0" xfId="4" applyFont="1" applyAlignment="1" applyProtection="1">
      <alignment vertical="center"/>
      <protection hidden="1"/>
    </xf>
    <xf numFmtId="0" fontId="3" fillId="32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9" fontId="1" fillId="10" borderId="0" xfId="4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164" fontId="7" fillId="0" borderId="0" xfId="2" applyNumberFormat="1" applyFont="1" applyProtection="1">
      <protection hidden="1"/>
    </xf>
    <xf numFmtId="10" fontId="10" fillId="0" borderId="0" xfId="0" applyNumberFormat="1" applyFont="1" applyAlignment="1" applyProtection="1">
      <alignment horizontal="center" vertical="center"/>
      <protection hidden="1"/>
    </xf>
    <xf numFmtId="164" fontId="7" fillId="0" borderId="0" xfId="2" applyNumberFormat="1" applyFont="1" applyAlignment="1" applyProtection="1">
      <alignment horizontal="left"/>
      <protection hidden="1"/>
    </xf>
    <xf numFmtId="0" fontId="7" fillId="0" borderId="0" xfId="6" applyFont="1" applyAlignment="1" applyProtection="1">
      <alignment horizontal="center"/>
      <protection hidden="1"/>
    </xf>
    <xf numFmtId="0" fontId="22" fillId="0" borderId="0" xfId="6" applyFont="1" applyAlignment="1" applyProtection="1">
      <alignment horizontal="center"/>
      <protection hidden="1"/>
    </xf>
    <xf numFmtId="0" fontId="2" fillId="16" borderId="0" xfId="4" applyFont="1" applyFill="1" applyProtection="1">
      <protection hidden="1"/>
    </xf>
    <xf numFmtId="0" fontId="3" fillId="33" borderId="12" xfId="4" applyFont="1" applyFill="1" applyBorder="1" applyAlignment="1" applyProtection="1">
      <alignment horizontal="center"/>
      <protection hidden="1"/>
    </xf>
    <xf numFmtId="0" fontId="3" fillId="33" borderId="13" xfId="4" applyFont="1" applyFill="1" applyBorder="1" applyAlignment="1" applyProtection="1">
      <alignment horizontal="center"/>
      <protection hidden="1"/>
    </xf>
    <xf numFmtId="0" fontId="3" fillId="34" borderId="12" xfId="4" applyFont="1" applyFill="1" applyBorder="1" applyAlignment="1" applyProtection="1">
      <alignment horizontal="center"/>
      <protection hidden="1"/>
    </xf>
    <xf numFmtId="0" fontId="3" fillId="34" borderId="14" xfId="4" applyFont="1" applyFill="1" applyBorder="1" applyAlignment="1" applyProtection="1">
      <alignment horizontal="center"/>
      <protection hidden="1"/>
    </xf>
    <xf numFmtId="0" fontId="3" fillId="5" borderId="0" xfId="4" applyFont="1" applyFill="1" applyProtection="1">
      <protection hidden="1"/>
    </xf>
    <xf numFmtId="0" fontId="3" fillId="5" borderId="0" xfId="4" applyFont="1" applyFill="1" applyAlignment="1" applyProtection="1">
      <alignment horizontal="center"/>
      <protection hidden="1"/>
    </xf>
    <xf numFmtId="0" fontId="3" fillId="32" borderId="0" xfId="4" applyFont="1" applyFill="1" applyAlignment="1" applyProtection="1">
      <alignment horizontal="center"/>
      <protection hidden="1"/>
    </xf>
    <xf numFmtId="0" fontId="2" fillId="16" borderId="0" xfId="4" applyFont="1" applyFill="1" applyAlignment="1" applyProtection="1">
      <alignment horizontal="center"/>
      <protection hidden="1"/>
    </xf>
    <xf numFmtId="10" fontId="1" fillId="0" borderId="0" xfId="2" applyNumberFormat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17" fontId="6" fillId="3" borderId="1" xfId="0" applyNumberFormat="1" applyFont="1" applyFill="1" applyBorder="1" applyAlignment="1" applyProtection="1">
      <alignment horizontal="center"/>
      <protection hidden="1"/>
    </xf>
    <xf numFmtId="17" fontId="6" fillId="3" borderId="1" xfId="0" applyNumberFormat="1" applyFont="1" applyFill="1" applyBorder="1" applyAlignment="1" applyProtection="1">
      <alignment horizontal="right"/>
      <protection hidden="1"/>
    </xf>
    <xf numFmtId="164" fontId="5" fillId="7" borderId="0" xfId="2" applyNumberFormat="1" applyFont="1" applyFill="1" applyProtection="1">
      <protection hidden="1"/>
    </xf>
    <xf numFmtId="17" fontId="6" fillId="3" borderId="10" xfId="0" applyNumberFormat="1" applyFont="1" applyFill="1" applyBorder="1" applyAlignment="1" applyProtection="1">
      <alignment horizontal="center"/>
      <protection hidden="1"/>
    </xf>
    <xf numFmtId="164" fontId="5" fillId="7" borderId="0" xfId="2" applyNumberFormat="1" applyFont="1" applyFill="1" applyAlignment="1" applyProtection="1">
      <alignment horizontal="left"/>
      <protection hidden="1"/>
    </xf>
    <xf numFmtId="0" fontId="7" fillId="0" borderId="0" xfId="6" applyFont="1" applyAlignment="1" applyProtection="1">
      <alignment horizontal="left"/>
      <protection hidden="1"/>
    </xf>
    <xf numFmtId="43" fontId="7" fillId="0" borderId="0" xfId="6" applyNumberFormat="1" applyFont="1" applyAlignment="1" applyProtection="1">
      <alignment horizontal="center"/>
      <protection hidden="1"/>
    </xf>
    <xf numFmtId="0" fontId="25" fillId="8" borderId="0" xfId="0" applyFont="1" applyFill="1" applyProtection="1">
      <protection hidden="1"/>
    </xf>
    <xf numFmtId="17" fontId="40" fillId="9" borderId="0" xfId="0" applyNumberFormat="1" applyFont="1" applyFill="1" applyProtection="1">
      <protection hidden="1"/>
    </xf>
    <xf numFmtId="10" fontId="41" fillId="8" borderId="0" xfId="0" applyNumberFormat="1" applyFont="1" applyFill="1" applyAlignment="1" applyProtection="1">
      <alignment horizontal="center"/>
      <protection hidden="1"/>
    </xf>
    <xf numFmtId="10" fontId="41" fillId="8" borderId="0" xfId="0" applyNumberFormat="1" applyFont="1" applyFill="1" applyProtection="1">
      <protection hidden="1"/>
    </xf>
    <xf numFmtId="0" fontId="40" fillId="8" borderId="0" xfId="0" applyFont="1" applyFill="1" applyAlignment="1" applyProtection="1">
      <alignment horizontal="right"/>
      <protection hidden="1"/>
    </xf>
    <xf numFmtId="10" fontId="25" fillId="8" borderId="0" xfId="0" applyNumberFormat="1" applyFont="1" applyFill="1" applyProtection="1">
      <protection hidden="1"/>
    </xf>
    <xf numFmtId="10" fontId="1" fillId="10" borderId="0" xfId="4" applyNumberFormat="1" applyFill="1" applyAlignment="1" applyProtection="1">
      <alignment horizontal="center"/>
      <protection locked="0"/>
    </xf>
    <xf numFmtId="0" fontId="2" fillId="20" borderId="0" xfId="0" applyFont="1" applyFill="1" applyAlignment="1" applyProtection="1">
      <alignment horizontal="center"/>
      <protection hidden="1"/>
    </xf>
    <xf numFmtId="0" fontId="3" fillId="33" borderId="8" xfId="4" applyFont="1" applyFill="1" applyBorder="1" applyAlignment="1" applyProtection="1">
      <alignment horizontal="center"/>
      <protection hidden="1"/>
    </xf>
    <xf numFmtId="0" fontId="3" fillId="33" borderId="0" xfId="4" applyFont="1" applyFill="1" applyAlignment="1" applyProtection="1">
      <alignment horizontal="center"/>
      <protection hidden="1"/>
    </xf>
    <xf numFmtId="0" fontId="3" fillId="34" borderId="8" xfId="4" applyFont="1" applyFill="1" applyBorder="1" applyAlignment="1" applyProtection="1">
      <alignment horizontal="center"/>
      <protection hidden="1"/>
    </xf>
    <xf numFmtId="0" fontId="3" fillId="34" borderId="6" xfId="4" applyFont="1" applyFill="1" applyBorder="1" applyAlignment="1" applyProtection="1">
      <alignment horizontal="center"/>
      <protection hidden="1"/>
    </xf>
    <xf numFmtId="3" fontId="1" fillId="17" borderId="0" xfId="4" applyNumberFormat="1" applyFill="1" applyAlignment="1" applyProtection="1">
      <alignment horizontal="center"/>
      <protection hidden="1"/>
    </xf>
    <xf numFmtId="0" fontId="1" fillId="17" borderId="0" xfId="4" applyFill="1" applyProtection="1">
      <protection hidden="1"/>
    </xf>
    <xf numFmtId="43" fontId="1" fillId="5" borderId="0" xfId="1" applyNumberFormat="1" applyFill="1" applyProtection="1">
      <protection hidden="1"/>
    </xf>
    <xf numFmtId="10" fontId="1" fillId="17" borderId="0" xfId="2" applyNumberFormat="1" applyFill="1" applyAlignment="1" applyProtection="1">
      <alignment horizontal="center"/>
      <protection hidden="1"/>
    </xf>
    <xf numFmtId="43" fontId="1" fillId="10" borderId="0" xfId="1" applyNumberFormat="1" applyFill="1" applyProtection="1">
      <protection locked="0"/>
    </xf>
    <xf numFmtId="3" fontId="1" fillId="10" borderId="0" xfId="4" applyNumberFormat="1" applyFill="1" applyAlignment="1" applyProtection="1">
      <alignment horizontal="center"/>
      <protection locked="0"/>
    </xf>
    <xf numFmtId="44" fontId="1" fillId="0" borderId="0" xfId="1" applyFill="1" applyProtection="1">
      <protection hidden="1"/>
    </xf>
    <xf numFmtId="0" fontId="3" fillId="32" borderId="0" xfId="4" applyFont="1" applyFill="1" applyAlignment="1" applyProtection="1">
      <alignment horizontal="right"/>
      <protection hidden="1"/>
    </xf>
    <xf numFmtId="3" fontId="1" fillId="0" borderId="0" xfId="4" applyNumberFormat="1" applyAlignment="1" applyProtection="1">
      <alignment horizontal="center"/>
      <protection hidden="1"/>
    </xf>
    <xf numFmtId="3" fontId="3" fillId="32" borderId="0" xfId="4" applyNumberFormat="1" applyFont="1" applyFill="1" applyAlignment="1" applyProtection="1">
      <alignment horizontal="center"/>
      <protection hidden="1"/>
    </xf>
    <xf numFmtId="10" fontId="3" fillId="0" borderId="0" xfId="2" applyNumberFormat="1" applyFont="1" applyAlignment="1" applyProtection="1">
      <alignment horizontal="left"/>
      <protection hidden="1"/>
    </xf>
    <xf numFmtId="0" fontId="3" fillId="0" borderId="0" xfId="4" applyFont="1" applyAlignment="1" applyProtection="1">
      <alignment horizontal="center"/>
      <protection hidden="1"/>
    </xf>
    <xf numFmtId="0" fontId="6" fillId="4" borderId="1" xfId="0" applyFont="1" applyFill="1" applyBorder="1" applyProtection="1">
      <protection hidden="1"/>
    </xf>
    <xf numFmtId="4" fontId="7" fillId="5" borderId="1" xfId="0" applyNumberFormat="1" applyFont="1" applyFill="1" applyBorder="1" applyProtection="1">
      <protection hidden="1"/>
    </xf>
    <xf numFmtId="4" fontId="7" fillId="2" borderId="0" xfId="0" applyNumberFormat="1" applyFont="1" applyFill="1" applyProtection="1">
      <protection hidden="1"/>
    </xf>
    <xf numFmtId="0" fontId="7" fillId="36" borderId="0" xfId="6" applyFont="1" applyFill="1" applyAlignment="1" applyProtection="1">
      <alignment horizontal="right"/>
      <protection hidden="1"/>
    </xf>
    <xf numFmtId="172" fontId="7" fillId="26" borderId="0" xfId="7" applyNumberFormat="1" applyFont="1" applyFill="1" applyProtection="1">
      <protection hidden="1"/>
    </xf>
    <xf numFmtId="10" fontId="7" fillId="27" borderId="0" xfId="2" applyNumberFormat="1" applyFont="1" applyFill="1" applyAlignment="1" applyProtection="1">
      <alignment horizontal="center"/>
      <protection hidden="1"/>
    </xf>
    <xf numFmtId="0" fontId="34" fillId="10" borderId="1" xfId="6" applyFont="1" applyFill="1" applyBorder="1" applyAlignment="1" applyProtection="1">
      <alignment horizontal="center"/>
      <protection locked="0"/>
    </xf>
    <xf numFmtId="177" fontId="34" fillId="10" borderId="1" xfId="6" applyNumberFormat="1" applyFont="1" applyFill="1" applyBorder="1" applyAlignment="1" applyProtection="1">
      <alignment horizontal="center"/>
      <protection locked="0"/>
    </xf>
    <xf numFmtId="175" fontId="31" fillId="10" borderId="0" xfId="6" applyNumberFormat="1" applyFont="1" applyFill="1" applyAlignment="1" applyProtection="1">
      <alignment horizontal="center"/>
      <protection locked="0"/>
    </xf>
    <xf numFmtId="3" fontId="25" fillId="8" borderId="0" xfId="0" applyNumberFormat="1" applyFont="1" applyFill="1" applyProtection="1">
      <protection hidden="1"/>
    </xf>
    <xf numFmtId="0" fontId="2" fillId="21" borderId="0" xfId="0" applyFont="1" applyFill="1" applyAlignment="1" applyProtection="1">
      <alignment horizontal="center"/>
      <protection hidden="1"/>
    </xf>
    <xf numFmtId="0" fontId="2" fillId="22" borderId="0" xfId="0" applyFont="1" applyFill="1" applyAlignment="1" applyProtection="1">
      <alignment horizontal="center"/>
      <protection hidden="1"/>
    </xf>
    <xf numFmtId="0" fontId="3" fillId="23" borderId="0" xfId="0" applyFont="1" applyFill="1" applyAlignment="1" applyProtection="1">
      <alignment horizontal="center"/>
      <protection hidden="1"/>
    </xf>
    <xf numFmtId="0" fontId="3" fillId="33" borderId="11" xfId="4" applyFont="1" applyFill="1" applyBorder="1" applyAlignment="1" applyProtection="1">
      <alignment horizontal="center"/>
      <protection hidden="1"/>
    </xf>
    <xf numFmtId="0" fontId="3" fillId="33" borderId="5" xfId="4" applyFont="1" applyFill="1" applyBorder="1" applyAlignment="1" applyProtection="1">
      <alignment horizontal="center"/>
      <protection hidden="1"/>
    </xf>
    <xf numFmtId="0" fontId="3" fillId="34" borderId="11" xfId="4" applyFont="1" applyFill="1" applyBorder="1" applyAlignment="1" applyProtection="1">
      <alignment horizontal="center"/>
      <protection hidden="1"/>
    </xf>
    <xf numFmtId="0" fontId="3" fillId="34" borderId="15" xfId="4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Protection="1">
      <protection hidden="1"/>
    </xf>
    <xf numFmtId="4" fontId="5" fillId="5" borderId="1" xfId="0" applyNumberFormat="1" applyFont="1" applyFill="1" applyBorder="1" applyProtection="1">
      <protection hidden="1"/>
    </xf>
    <xf numFmtId="164" fontId="5" fillId="10" borderId="0" xfId="2" applyNumberFormat="1" applyFont="1" applyFill="1" applyProtection="1">
      <protection locked="0"/>
    </xf>
    <xf numFmtId="172" fontId="5" fillId="0" borderId="0" xfId="7" applyNumberFormat="1" applyFont="1" applyFill="1" applyProtection="1">
      <protection hidden="1"/>
    </xf>
    <xf numFmtId="172" fontId="5" fillId="5" borderId="0" xfId="6" applyNumberFormat="1" applyFont="1" applyFill="1" applyProtection="1">
      <protection hidden="1"/>
    </xf>
    <xf numFmtId="10" fontId="5" fillId="0" borderId="0" xfId="2" applyNumberFormat="1" applyFont="1" applyAlignment="1" applyProtection="1">
      <alignment horizontal="center"/>
      <protection hidden="1"/>
    </xf>
    <xf numFmtId="0" fontId="40" fillId="9" borderId="0" xfId="0" applyFont="1" applyFill="1" applyProtection="1">
      <protection hidden="1"/>
    </xf>
    <xf numFmtId="3" fontId="40" fillId="8" borderId="0" xfId="0" applyNumberFormat="1" applyFont="1" applyFill="1" applyProtection="1">
      <protection hidden="1"/>
    </xf>
    <xf numFmtId="9" fontId="10" fillId="2" borderId="0" xfId="2" applyFont="1" applyFill="1" applyAlignment="1" applyProtection="1">
      <alignment horizontal="center"/>
      <protection hidden="1"/>
    </xf>
    <xf numFmtId="4" fontId="40" fillId="39" borderId="0" xfId="0" applyNumberFormat="1" applyFont="1" applyFill="1" applyProtection="1">
      <protection hidden="1"/>
    </xf>
    <xf numFmtId="0" fontId="0" fillId="10" borderId="0" xfId="4" applyFont="1" applyFill="1" applyAlignment="1" applyProtection="1">
      <alignment horizontal="center"/>
      <protection locked="0"/>
    </xf>
    <xf numFmtId="10" fontId="1" fillId="24" borderId="0" xfId="4" applyNumberFormat="1" applyFill="1" applyAlignment="1" applyProtection="1">
      <alignment horizontal="center"/>
      <protection hidden="1"/>
    </xf>
    <xf numFmtId="0" fontId="0" fillId="24" borderId="0" xfId="4" applyFont="1" applyFill="1" applyAlignment="1" applyProtection="1">
      <alignment horizontal="center"/>
      <protection hidden="1"/>
    </xf>
    <xf numFmtId="3" fontId="0" fillId="0" borderId="0" xfId="0" applyNumberFormat="1" applyAlignment="1" applyProtection="1">
      <alignment horizontal="center"/>
      <protection hidden="1"/>
    </xf>
    <xf numFmtId="168" fontId="1" fillId="0" borderId="0" xfId="4" applyNumberFormat="1" applyProtection="1">
      <protection hidden="1"/>
    </xf>
    <xf numFmtId="168" fontId="0" fillId="0" borderId="0" xfId="0" applyNumberFormat="1" applyProtection="1">
      <protection hidden="1"/>
    </xf>
    <xf numFmtId="9" fontId="0" fillId="25" borderId="0" xfId="0" applyNumberFormat="1" applyFill="1" applyAlignment="1" applyProtection="1">
      <alignment horizontal="center"/>
      <protection hidden="1"/>
    </xf>
    <xf numFmtId="168" fontId="0" fillId="26" borderId="0" xfId="0" applyNumberFormat="1" applyFill="1" applyProtection="1">
      <protection hidden="1"/>
    </xf>
    <xf numFmtId="168" fontId="0" fillId="27" borderId="0" xfId="0" applyNumberFormat="1" applyFill="1" applyProtection="1">
      <protection hidden="1"/>
    </xf>
    <xf numFmtId="168" fontId="0" fillId="28" borderId="0" xfId="0" applyNumberFormat="1" applyFill="1" applyProtection="1">
      <protection hidden="1"/>
    </xf>
    <xf numFmtId="168" fontId="1" fillId="0" borderId="8" xfId="4" applyNumberFormat="1" applyBorder="1" applyProtection="1"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0" fontId="5" fillId="10" borderId="1" xfId="0" applyFont="1" applyFill="1" applyBorder="1" applyAlignment="1" applyProtection="1">
      <alignment horizontal="center"/>
      <protection locked="0"/>
    </xf>
    <xf numFmtId="3" fontId="1" fillId="28" borderId="0" xfId="4" applyNumberFormat="1" applyFill="1" applyAlignment="1" applyProtection="1">
      <alignment horizontal="center"/>
      <protection hidden="1"/>
    </xf>
    <xf numFmtId="0" fontId="1" fillId="28" borderId="0" xfId="4" applyFill="1" applyProtection="1">
      <protection hidden="1"/>
    </xf>
    <xf numFmtId="10" fontId="1" fillId="28" borderId="0" xfId="2" applyNumberFormat="1" applyFill="1" applyAlignment="1" applyProtection="1">
      <alignment horizontal="center"/>
      <protection hidden="1"/>
    </xf>
    <xf numFmtId="38" fontId="5" fillId="0" borderId="0" xfId="0" applyNumberFormat="1" applyFont="1" applyProtection="1">
      <protection hidden="1"/>
    </xf>
    <xf numFmtId="0" fontId="5" fillId="0" borderId="0" xfId="6" applyFont="1" applyAlignment="1" applyProtection="1">
      <alignment horizontal="left" indent="1"/>
      <protection hidden="1"/>
    </xf>
    <xf numFmtId="172" fontId="5" fillId="0" borderId="0" xfId="7" applyNumberFormat="1" applyFont="1" applyProtection="1">
      <protection hidden="1"/>
    </xf>
    <xf numFmtId="10" fontId="10" fillId="2" borderId="0" xfId="2" applyNumberFormat="1" applyFont="1" applyFill="1" applyAlignment="1" applyProtection="1">
      <alignment horizontal="center"/>
      <protection hidden="1"/>
    </xf>
    <xf numFmtId="4" fontId="6" fillId="4" borderId="1" xfId="0" applyNumberFormat="1" applyFont="1" applyFill="1" applyBorder="1" applyProtection="1">
      <protection hidden="1"/>
    </xf>
    <xf numFmtId="0" fontId="25" fillId="8" borderId="0" xfId="0" applyFont="1" applyFill="1" applyAlignment="1" applyProtection="1">
      <alignment horizontal="left" indent="2"/>
      <protection hidden="1"/>
    </xf>
    <xf numFmtId="0" fontId="7" fillId="2" borderId="1" xfId="0" applyFont="1" applyFill="1" applyBorder="1" applyAlignment="1" applyProtection="1">
      <alignment horizontal="left" indent="1"/>
      <protection hidden="1"/>
    </xf>
    <xf numFmtId="38" fontId="10" fillId="5" borderId="0" xfId="0" applyNumberFormat="1" applyFont="1" applyFill="1" applyProtection="1">
      <protection hidden="1"/>
    </xf>
    <xf numFmtId="40" fontId="10" fillId="5" borderId="0" xfId="0" applyNumberFormat="1" applyFont="1" applyFill="1" applyProtection="1">
      <protection hidden="1"/>
    </xf>
    <xf numFmtId="3" fontId="25" fillId="10" borderId="0" xfId="0" applyNumberFormat="1" applyFont="1" applyFill="1" applyProtection="1">
      <protection locked="0"/>
    </xf>
    <xf numFmtId="0" fontId="5" fillId="0" borderId="0" xfId="0" applyFont="1" applyAlignment="1" applyProtection="1">
      <alignment horizontal="left" indent="2"/>
      <protection hidden="1"/>
    </xf>
    <xf numFmtId="4" fontId="5" fillId="0" borderId="0" xfId="0" applyNumberFormat="1" applyFont="1" applyProtection="1">
      <protection hidden="1"/>
    </xf>
    <xf numFmtId="4" fontId="5" fillId="5" borderId="0" xfId="0" applyNumberFormat="1" applyFont="1" applyFill="1" applyProtection="1">
      <protection hidden="1"/>
    </xf>
    <xf numFmtId="164" fontId="5" fillId="0" borderId="0" xfId="2" applyNumberFormat="1" applyFont="1" applyProtection="1">
      <protection hidden="1"/>
    </xf>
    <xf numFmtId="164" fontId="5" fillId="0" borderId="0" xfId="2" applyNumberFormat="1" applyFont="1" applyAlignment="1" applyProtection="1">
      <alignment horizontal="left"/>
      <protection hidden="1"/>
    </xf>
    <xf numFmtId="166" fontId="5" fillId="8" borderId="1" xfId="3" applyFont="1" applyFill="1" applyBorder="1" applyProtection="1">
      <protection hidden="1"/>
    </xf>
    <xf numFmtId="181" fontId="31" fillId="10" borderId="1" xfId="6" applyNumberFormat="1" applyFont="1" applyFill="1" applyBorder="1" applyProtection="1">
      <protection locked="0"/>
    </xf>
    <xf numFmtId="3" fontId="1" fillId="29" borderId="0" xfId="4" applyNumberFormat="1" applyFill="1" applyAlignment="1" applyProtection="1">
      <alignment horizontal="center"/>
      <protection hidden="1"/>
    </xf>
    <xf numFmtId="0" fontId="1" fillId="29" borderId="0" xfId="4" applyFill="1" applyProtection="1">
      <protection hidden="1"/>
    </xf>
    <xf numFmtId="10" fontId="1" fillId="29" borderId="0" xfId="2" applyNumberFormat="1" applyFill="1" applyAlignment="1" applyProtection="1">
      <alignment horizontal="center"/>
      <protection hidden="1"/>
    </xf>
    <xf numFmtId="10" fontId="41" fillId="8" borderId="0" xfId="2" applyNumberFormat="1" applyFont="1" applyFill="1" applyAlignment="1" applyProtection="1">
      <alignment horizontal="center"/>
      <protection hidden="1"/>
    </xf>
    <xf numFmtId="3" fontId="3" fillId="0" borderId="0" xfId="4" applyNumberFormat="1" applyFont="1" applyAlignment="1" applyProtection="1">
      <alignment horizontal="center"/>
      <protection hidden="1"/>
    </xf>
    <xf numFmtId="172" fontId="5" fillId="0" borderId="0" xfId="0" applyNumberFormat="1" applyFont="1" applyProtection="1">
      <protection hidden="1"/>
    </xf>
    <xf numFmtId="172" fontId="5" fillId="0" borderId="0" xfId="0" applyNumberFormat="1" applyFont="1" applyAlignment="1" applyProtection="1">
      <alignment horizontal="left"/>
      <protection hidden="1"/>
    </xf>
    <xf numFmtId="168" fontId="2" fillId="22" borderId="0" xfId="4" applyNumberFormat="1" applyFont="1" applyFill="1" applyProtection="1">
      <protection hidden="1"/>
    </xf>
    <xf numFmtId="168" fontId="2" fillId="23" borderId="0" xfId="4" applyNumberFormat="1" applyFont="1" applyFill="1" applyProtection="1">
      <protection hidden="1"/>
    </xf>
    <xf numFmtId="168" fontId="3" fillId="0" borderId="11" xfId="4" applyNumberFormat="1" applyFont="1" applyBorder="1" applyProtection="1">
      <protection hidden="1"/>
    </xf>
    <xf numFmtId="168" fontId="3" fillId="0" borderId="5" xfId="4" applyNumberFormat="1" applyFont="1" applyBorder="1" applyProtection="1">
      <protection hidden="1"/>
    </xf>
    <xf numFmtId="3" fontId="3" fillId="0" borderId="11" xfId="0" applyNumberFormat="1" applyFont="1" applyBorder="1" applyAlignment="1" applyProtection="1">
      <alignment horizontal="center"/>
      <protection hidden="1"/>
    </xf>
    <xf numFmtId="3" fontId="3" fillId="0" borderId="15" xfId="0" applyNumberFormat="1" applyFont="1" applyBorder="1" applyAlignment="1" applyProtection="1">
      <alignment horizontal="center"/>
      <protection hidden="1"/>
    </xf>
    <xf numFmtId="0" fontId="42" fillId="8" borderId="0" xfId="0" applyFont="1" applyFill="1" applyProtection="1">
      <protection hidden="1"/>
    </xf>
    <xf numFmtId="3" fontId="42" fillId="8" borderId="0" xfId="0" applyNumberFormat="1" applyFont="1" applyFill="1" applyProtection="1">
      <protection hidden="1"/>
    </xf>
    <xf numFmtId="0" fontId="4" fillId="13" borderId="0" xfId="4" applyFont="1" applyFill="1" applyProtection="1">
      <protection hidden="1"/>
    </xf>
    <xf numFmtId="0" fontId="2" fillId="13" borderId="0" xfId="4" applyFont="1" applyFill="1" applyProtection="1">
      <protection hidden="1"/>
    </xf>
    <xf numFmtId="169" fontId="1" fillId="0" borderId="0" xfId="4" applyNumberFormat="1" applyProtection="1">
      <protection hidden="1"/>
    </xf>
    <xf numFmtId="169" fontId="3" fillId="32" borderId="0" xfId="4" applyNumberFormat="1" applyFont="1" applyFill="1" applyProtection="1">
      <protection hidden="1"/>
    </xf>
    <xf numFmtId="4" fontId="5" fillId="0" borderId="0" xfId="0" applyNumberFormat="1" applyFont="1" applyAlignment="1" applyProtection="1">
      <alignment horizontal="left"/>
      <protection hidden="1"/>
    </xf>
    <xf numFmtId="10" fontId="25" fillId="8" borderId="0" xfId="2" applyNumberFormat="1" applyFont="1" applyFill="1" applyProtection="1">
      <protection hidden="1"/>
    </xf>
    <xf numFmtId="4" fontId="1" fillId="0" borderId="0" xfId="4" applyNumberFormat="1" applyProtection="1">
      <protection hidden="1"/>
    </xf>
    <xf numFmtId="4" fontId="1" fillId="10" borderId="0" xfId="4" applyNumberFormat="1" applyFill="1" applyProtection="1">
      <protection locked="0"/>
    </xf>
    <xf numFmtId="9" fontId="1" fillId="0" borderId="0" xfId="4" applyNumberFormat="1" applyProtection="1">
      <protection hidden="1"/>
    </xf>
    <xf numFmtId="9" fontId="1" fillId="10" borderId="0" xfId="4" applyNumberFormat="1" applyFill="1" applyProtection="1">
      <protection locked="0"/>
    </xf>
    <xf numFmtId="187" fontId="1" fillId="0" borderId="0" xfId="4" applyNumberFormat="1" applyProtection="1">
      <protection hidden="1"/>
    </xf>
    <xf numFmtId="3" fontId="1" fillId="30" borderId="0" xfId="4" applyNumberFormat="1" applyFill="1" applyAlignment="1" applyProtection="1">
      <alignment horizontal="center"/>
      <protection hidden="1"/>
    </xf>
    <xf numFmtId="0" fontId="1" fillId="30" borderId="0" xfId="4" applyFill="1" applyProtection="1">
      <protection hidden="1"/>
    </xf>
    <xf numFmtId="10" fontId="1" fillId="30" borderId="0" xfId="2" applyNumberFormat="1" applyFill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169" fontId="3" fillId="0" borderId="0" xfId="4" applyNumberFormat="1" applyFont="1" applyProtection="1">
      <protection hidden="1"/>
    </xf>
    <xf numFmtId="0" fontId="5" fillId="0" borderId="1" xfId="0" applyFont="1" applyBorder="1" applyAlignment="1" applyProtection="1">
      <alignment horizontal="left" indent="2"/>
      <protection hidden="1"/>
    </xf>
    <xf numFmtId="4" fontId="5" fillId="8" borderId="1" xfId="0" applyNumberFormat="1" applyFont="1" applyFill="1" applyBorder="1" applyProtection="1">
      <protection hidden="1"/>
    </xf>
    <xf numFmtId="173" fontId="5" fillId="0" borderId="0" xfId="0" applyNumberFormat="1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0" fontId="3" fillId="0" borderId="0" xfId="4" applyNumberFormat="1" applyFont="1" applyAlignment="1" applyProtection="1">
      <alignment horizontal="center"/>
      <protection hidden="1"/>
    </xf>
    <xf numFmtId="0" fontId="3" fillId="0" borderId="0" xfId="4" applyFont="1" applyProtection="1">
      <protection hidden="1"/>
    </xf>
    <xf numFmtId="4" fontId="3" fillId="0" borderId="0" xfId="4" applyNumberFormat="1" applyFont="1" applyProtection="1">
      <protection hidden="1"/>
    </xf>
    <xf numFmtId="0" fontId="57" fillId="0" borderId="0" xfId="4" applyFont="1" applyAlignment="1" applyProtection="1">
      <alignment horizontal="center"/>
      <protection hidden="1"/>
    </xf>
    <xf numFmtId="168" fontId="3" fillId="0" borderId="0" xfId="0" applyNumberFormat="1" applyFont="1" applyProtection="1">
      <protection hidden="1"/>
    </xf>
    <xf numFmtId="0" fontId="40" fillId="8" borderId="0" xfId="0" applyFont="1" applyFill="1" applyProtection="1">
      <protection hidden="1"/>
    </xf>
    <xf numFmtId="3" fontId="43" fillId="8" borderId="0" xfId="0" applyNumberFormat="1" applyFont="1" applyFill="1" applyProtection="1">
      <protection hidden="1"/>
    </xf>
    <xf numFmtId="0" fontId="40" fillId="0" borderId="0" xfId="0" applyFont="1" applyProtection="1">
      <protection hidden="1"/>
    </xf>
    <xf numFmtId="0" fontId="7" fillId="0" borderId="0" xfId="6" applyFont="1" applyProtection="1">
      <protection hidden="1"/>
    </xf>
    <xf numFmtId="3" fontId="1" fillId="31" borderId="0" xfId="4" applyNumberFormat="1" applyFill="1" applyAlignment="1" applyProtection="1">
      <alignment horizontal="center"/>
      <protection hidden="1"/>
    </xf>
    <xf numFmtId="0" fontId="1" fillId="31" borderId="0" xfId="4" applyFill="1" applyProtection="1">
      <protection hidden="1"/>
    </xf>
    <xf numFmtId="10" fontId="1" fillId="31" borderId="0" xfId="2" applyNumberFormat="1" applyFill="1" applyAlignment="1" applyProtection="1">
      <alignment horizontal="center"/>
      <protection hidden="1"/>
    </xf>
    <xf numFmtId="172" fontId="7" fillId="0" borderId="0" xfId="7" applyNumberFormat="1" applyFont="1" applyProtection="1">
      <protection hidden="1"/>
    </xf>
    <xf numFmtId="43" fontId="5" fillId="0" borderId="0" xfId="0" applyNumberFormat="1" applyFont="1" applyProtection="1">
      <protection hidden="1"/>
    </xf>
    <xf numFmtId="0" fontId="40" fillId="37" borderId="0" xfId="0" applyFont="1" applyFill="1" applyProtection="1">
      <protection hidden="1"/>
    </xf>
    <xf numFmtId="3" fontId="40" fillId="37" borderId="0" xfId="0" applyNumberFormat="1" applyFont="1" applyFill="1" applyProtection="1">
      <protection hidden="1"/>
    </xf>
    <xf numFmtId="4" fontId="40" fillId="37" borderId="0" xfId="0" applyNumberFormat="1" applyFont="1" applyFill="1" applyProtection="1">
      <protection hidden="1"/>
    </xf>
    <xf numFmtId="0" fontId="40" fillId="4" borderId="0" xfId="0" applyFont="1" applyFill="1" applyProtection="1">
      <protection hidden="1"/>
    </xf>
    <xf numFmtId="3" fontId="40" fillId="4" borderId="0" xfId="0" applyNumberFormat="1" applyFont="1" applyFill="1" applyProtection="1">
      <protection hidden="1"/>
    </xf>
    <xf numFmtId="43" fontId="3" fillId="5" borderId="0" xfId="1" applyNumberFormat="1" applyFont="1" applyFill="1" applyProtection="1">
      <protection hidden="1"/>
    </xf>
    <xf numFmtId="10" fontId="1" fillId="5" borderId="0" xfId="2" applyNumberFormat="1" applyFill="1" applyAlignment="1" applyProtection="1">
      <alignment horizontal="center"/>
      <protection hidden="1"/>
    </xf>
    <xf numFmtId="44" fontId="3" fillId="5" borderId="0" xfId="1" applyFont="1" applyFill="1" applyProtection="1">
      <protection hidden="1"/>
    </xf>
    <xf numFmtId="0" fontId="1" fillId="17" borderId="0" xfId="4" applyFill="1" applyAlignment="1" applyProtection="1">
      <alignment horizontal="right"/>
      <protection hidden="1"/>
    </xf>
    <xf numFmtId="168" fontId="3" fillId="17" borderId="0" xfId="4" applyNumberFormat="1" applyFont="1" applyFill="1" applyProtection="1">
      <protection hidden="1"/>
    </xf>
    <xf numFmtId="168" fontId="3" fillId="5" borderId="0" xfId="4" applyNumberFormat="1" applyFont="1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7" fillId="0" borderId="1" xfId="0" applyFont="1" applyBorder="1" applyProtection="1">
      <protection hidden="1"/>
    </xf>
    <xf numFmtId="0" fontId="44" fillId="0" borderId="0" xfId="0" applyFont="1" applyProtection="1">
      <protection hidden="1"/>
    </xf>
    <xf numFmtId="9" fontId="2" fillId="16" borderId="0" xfId="4" applyNumberFormat="1" applyFont="1" applyFill="1" applyAlignment="1" applyProtection="1">
      <alignment horizontal="center"/>
      <protection hidden="1"/>
    </xf>
    <xf numFmtId="17" fontId="40" fillId="10" borderId="0" xfId="0" applyNumberFormat="1" applyFont="1" applyFill="1" applyProtection="1">
      <protection locked="0"/>
    </xf>
    <xf numFmtId="168" fontId="1" fillId="0" borderId="0" xfId="4" applyNumberFormat="1" applyAlignment="1" applyProtection="1">
      <alignment horizontal="center"/>
      <protection hidden="1"/>
    </xf>
    <xf numFmtId="166" fontId="5" fillId="10" borderId="1" xfId="3" applyFont="1" applyFill="1" applyBorder="1" applyProtection="1">
      <protection hidden="1"/>
    </xf>
    <xf numFmtId="169" fontId="0" fillId="0" borderId="0" xfId="0" applyNumberFormat="1" applyAlignment="1" applyProtection="1">
      <alignment horizontal="center"/>
      <protection hidden="1"/>
    </xf>
    <xf numFmtId="164" fontId="56" fillId="0" borderId="0" xfId="2" applyNumberFormat="1" applyFont="1" applyAlignment="1" applyProtection="1">
      <alignment horizontal="left"/>
      <protection hidden="1"/>
    </xf>
    <xf numFmtId="4" fontId="5" fillId="9" borderId="1" xfId="0" applyNumberFormat="1" applyFont="1" applyFill="1" applyBorder="1" applyProtection="1">
      <protection hidden="1"/>
    </xf>
    <xf numFmtId="0" fontId="52" fillId="0" borderId="0" xfId="0" applyFont="1" applyAlignment="1" applyProtection="1">
      <alignment horizontal="right" vertical="center"/>
      <protection hidden="1"/>
    </xf>
    <xf numFmtId="0" fontId="7" fillId="10" borderId="1" xfId="0" applyFont="1" applyFill="1" applyBorder="1" applyAlignment="1" applyProtection="1">
      <alignment horizontal="left" indent="2"/>
      <protection hidden="1"/>
    </xf>
    <xf numFmtId="165" fontId="5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5" fillId="2" borderId="0" xfId="0" applyFont="1" applyFill="1" applyProtection="1">
      <protection hidden="1"/>
    </xf>
    <xf numFmtId="0" fontId="11" fillId="7" borderId="0" xfId="0" applyFont="1" applyFill="1" applyProtection="1">
      <protection hidden="1"/>
    </xf>
    <xf numFmtId="9" fontId="5" fillId="6" borderId="0" xfId="2" applyFont="1" applyFill="1" applyProtection="1">
      <protection hidden="1"/>
    </xf>
    <xf numFmtId="0" fontId="6" fillId="11" borderId="0" xfId="0" applyFont="1" applyFill="1" applyAlignment="1" applyProtection="1">
      <alignment horizontal="center"/>
      <protection hidden="1"/>
    </xf>
    <xf numFmtId="4" fontId="7" fillId="0" borderId="0" xfId="0" applyNumberFormat="1" applyFont="1" applyProtection="1">
      <protection hidden="1"/>
    </xf>
    <xf numFmtId="0" fontId="5" fillId="7" borderId="0" xfId="0" applyFont="1" applyFill="1" applyProtection="1">
      <protection hidden="1"/>
    </xf>
    <xf numFmtId="4" fontId="6" fillId="12" borderId="0" xfId="0" applyNumberFormat="1" applyFont="1" applyFill="1" applyProtection="1">
      <protection hidden="1"/>
    </xf>
    <xf numFmtId="0" fontId="7" fillId="6" borderId="0" xfId="0" applyFont="1" applyFill="1" applyProtection="1">
      <protection hidden="1"/>
    </xf>
    <xf numFmtId="0" fontId="12" fillId="7" borderId="0" xfId="0" applyFont="1" applyFill="1" applyAlignment="1" applyProtection="1">
      <alignment horizontal="right"/>
      <protection hidden="1"/>
    </xf>
    <xf numFmtId="10" fontId="12" fillId="7" borderId="0" xfId="2" applyNumberFormat="1" applyFont="1" applyFill="1" applyBorder="1" applyProtection="1">
      <protection hidden="1"/>
    </xf>
    <xf numFmtId="17" fontId="5" fillId="0" borderId="0" xfId="0" applyNumberFormat="1" applyFont="1" applyProtection="1">
      <protection hidden="1"/>
    </xf>
    <xf numFmtId="4" fontId="6" fillId="11" borderId="2" xfId="0" applyNumberFormat="1" applyFont="1" applyFill="1" applyBorder="1" applyAlignment="1" applyProtection="1">
      <alignment horizontal="right"/>
      <protection hidden="1"/>
    </xf>
    <xf numFmtId="0" fontId="8" fillId="11" borderId="2" xfId="0" applyFont="1" applyFill="1" applyBorder="1" applyProtection="1">
      <protection hidden="1"/>
    </xf>
    <xf numFmtId="4" fontId="6" fillId="13" borderId="3" xfId="0" applyNumberFormat="1" applyFont="1" applyFill="1" applyBorder="1" applyAlignment="1" applyProtection="1">
      <alignment horizontal="right"/>
      <protection hidden="1"/>
    </xf>
    <xf numFmtId="10" fontId="6" fillId="13" borderId="4" xfId="2" applyNumberFormat="1" applyFont="1" applyFill="1" applyBorder="1" applyProtection="1">
      <protection hidden="1"/>
    </xf>
    <xf numFmtId="0" fontId="7" fillId="14" borderId="0" xfId="0" applyFont="1" applyFill="1" applyAlignment="1" applyProtection="1">
      <alignment horizontal="right"/>
      <protection hidden="1"/>
    </xf>
    <xf numFmtId="3" fontId="5" fillId="0" borderId="0" xfId="0" applyNumberFormat="1" applyFont="1" applyProtection="1">
      <protection hidden="1"/>
    </xf>
    <xf numFmtId="3" fontId="6" fillId="13" borderId="0" xfId="0" applyNumberFormat="1" applyFont="1" applyFill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4" fontId="0" fillId="2" borderId="0" xfId="0" applyNumberFormat="1" applyFill="1" applyProtection="1">
      <protection hidden="1"/>
    </xf>
    <xf numFmtId="4" fontId="3" fillId="0" borderId="0" xfId="0" applyNumberFormat="1" applyFont="1" applyProtection="1">
      <protection hidden="1"/>
    </xf>
    <xf numFmtId="4" fontId="5" fillId="2" borderId="0" xfId="0" applyNumberFormat="1" applyFont="1" applyFill="1" applyProtection="1">
      <protection hidden="1"/>
    </xf>
    <xf numFmtId="0" fontId="7" fillId="2" borderId="1" xfId="0" applyFont="1" applyFill="1" applyBorder="1" applyProtection="1">
      <protection hidden="1"/>
    </xf>
    <xf numFmtId="164" fontId="5" fillId="10" borderId="0" xfId="2" applyNumberFormat="1" applyFont="1" applyFill="1" applyAlignment="1" applyProtection="1">
      <alignment horizontal="left"/>
      <protection locked="0"/>
    </xf>
    <xf numFmtId="164" fontId="5" fillId="9" borderId="0" xfId="2" applyNumberFormat="1" applyFont="1" applyFill="1" applyProtection="1">
      <protection hidden="1"/>
    </xf>
    <xf numFmtId="0" fontId="10" fillId="5" borderId="0" xfId="0" applyFont="1" applyFill="1" applyAlignment="1" applyProtection="1">
      <alignment horizontal="left" indent="2"/>
      <protection hidden="1"/>
    </xf>
    <xf numFmtId="166" fontId="5" fillId="0" borderId="0" xfId="3" applyFont="1" applyProtection="1">
      <protection hidden="1"/>
    </xf>
    <xf numFmtId="17" fontId="8" fillId="3" borderId="0" xfId="0" applyNumberFormat="1" applyFont="1" applyFill="1" applyAlignment="1" applyProtection="1">
      <alignment horizontal="center"/>
      <protection hidden="1"/>
    </xf>
    <xf numFmtId="167" fontId="5" fillId="2" borderId="0" xfId="2" applyNumberFormat="1" applyFont="1" applyFill="1" applyAlignment="1" applyProtection="1">
      <alignment horizontal="center"/>
      <protection hidden="1"/>
    </xf>
    <xf numFmtId="164" fontId="5" fillId="10" borderId="0" xfId="2" applyNumberFormat="1" applyFont="1" applyFill="1" applyProtection="1">
      <protection hidden="1"/>
    </xf>
    <xf numFmtId="168" fontId="5" fillId="0" borderId="0" xfId="1" applyNumberFormat="1" applyFont="1" applyProtection="1">
      <protection hidden="1"/>
    </xf>
    <xf numFmtId="0" fontId="25" fillId="0" borderId="0" xfId="10" applyProtection="1">
      <protection hidden="1"/>
    </xf>
    <xf numFmtId="0" fontId="55" fillId="0" borderId="0" xfId="0" applyFont="1" applyProtection="1">
      <protection hidden="1"/>
    </xf>
    <xf numFmtId="4" fontId="44" fillId="0" borderId="0" xfId="0" applyNumberFormat="1" applyFont="1" applyProtection="1">
      <protection hidden="1"/>
    </xf>
    <xf numFmtId="0" fontId="54" fillId="0" borderId="0" xfId="0" applyFont="1" applyAlignment="1" applyProtection="1">
      <alignment horizontal="right"/>
      <protection hidden="1"/>
    </xf>
    <xf numFmtId="3" fontId="0" fillId="0" borderId="36" xfId="0" applyNumberFormat="1" applyBorder="1" applyProtection="1">
      <protection hidden="1"/>
    </xf>
    <xf numFmtId="1" fontId="0" fillId="0" borderId="36" xfId="0" applyNumberFormat="1" applyBorder="1" applyProtection="1">
      <protection hidden="1"/>
    </xf>
    <xf numFmtId="9" fontId="0" fillId="0" borderId="36" xfId="0" applyNumberFormat="1" applyBorder="1" applyProtection="1">
      <protection hidden="1"/>
    </xf>
    <xf numFmtId="10" fontId="0" fillId="0" borderId="0" xfId="2" applyNumberFormat="1" applyFont="1" applyProtection="1">
      <protection hidden="1"/>
    </xf>
    <xf numFmtId="4" fontId="0" fillId="0" borderId="0" xfId="0" applyNumberFormat="1" applyProtection="1">
      <protection hidden="1"/>
    </xf>
    <xf numFmtId="0" fontId="53" fillId="40" borderId="28" xfId="0" applyFont="1" applyFill="1" applyBorder="1" applyAlignment="1" applyProtection="1">
      <alignment horizontal="center"/>
      <protection hidden="1"/>
    </xf>
    <xf numFmtId="0" fontId="53" fillId="40" borderId="36" xfId="0" applyFont="1" applyFill="1" applyBorder="1" applyAlignment="1" applyProtection="1">
      <alignment horizontal="center"/>
      <protection hidden="1"/>
    </xf>
    <xf numFmtId="43" fontId="53" fillId="40" borderId="36" xfId="5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0" xfId="0" applyBorder="1" applyProtection="1">
      <protection hidden="1"/>
    </xf>
    <xf numFmtId="43" fontId="1" fillId="0" borderId="10" xfId="5" applyBorder="1" applyProtection="1">
      <protection hidden="1"/>
    </xf>
    <xf numFmtId="0" fontId="25" fillId="0" borderId="1" xfId="10" applyBorder="1" applyProtection="1">
      <protection hidden="1"/>
    </xf>
    <xf numFmtId="43" fontId="1" fillId="0" borderId="1" xfId="5" applyBorder="1" applyProtection="1">
      <protection hidden="1"/>
    </xf>
    <xf numFmtId="43" fontId="1" fillId="0" borderId="1" xfId="5" applyFill="1" applyBorder="1" applyProtection="1">
      <protection hidden="1"/>
    </xf>
    <xf numFmtId="169" fontId="5" fillId="0" borderId="0" xfId="6" applyNumberFormat="1" applyFont="1"/>
    <xf numFmtId="164" fontId="5" fillId="0" borderId="0" xfId="2" applyNumberFormat="1" applyFont="1"/>
    <xf numFmtId="164" fontId="5" fillId="10" borderId="0" xfId="6" applyNumberFormat="1" applyFont="1" applyFill="1" applyProtection="1">
      <protection locked="0"/>
    </xf>
    <xf numFmtId="0" fontId="0" fillId="0" borderId="0" xfId="0" applyProtection="1">
      <protection locked="0"/>
    </xf>
    <xf numFmtId="0" fontId="1" fillId="0" borderId="0" xfId="4" applyProtection="1">
      <protection locked="0"/>
    </xf>
    <xf numFmtId="0" fontId="47" fillId="0" borderId="0" xfId="4" applyFont="1" applyAlignment="1">
      <alignment horizontal="center"/>
    </xf>
    <xf numFmtId="0" fontId="47" fillId="0" borderId="0" xfId="4" applyFont="1" applyAlignment="1">
      <alignment horizontal="center" vertical="center"/>
    </xf>
    <xf numFmtId="0" fontId="6" fillId="21" borderId="0" xfId="6" applyFont="1" applyFill="1" applyAlignment="1">
      <alignment horizontal="center"/>
    </xf>
    <xf numFmtId="175" fontId="47" fillId="8" borderId="0" xfId="6" applyNumberFormat="1" applyFont="1" applyFill="1" applyAlignment="1" applyProtection="1">
      <alignment horizontal="center" wrapText="1"/>
      <protection hidden="1"/>
    </xf>
    <xf numFmtId="0" fontId="6" fillId="19" borderId="1" xfId="6" applyFont="1" applyFill="1" applyBorder="1" applyAlignment="1">
      <alignment horizontal="center"/>
    </xf>
    <xf numFmtId="0" fontId="2" fillId="19" borderId="0" xfId="4" applyFont="1" applyFill="1" applyAlignment="1">
      <alignment horizontal="center"/>
    </xf>
    <xf numFmtId="0" fontId="35" fillId="8" borderId="0" xfId="6" applyFont="1" applyFill="1" applyAlignment="1" applyProtection="1">
      <alignment horizontal="center"/>
      <protection hidden="1"/>
    </xf>
    <xf numFmtId="175" fontId="32" fillId="8" borderId="21" xfId="6" applyNumberFormat="1" applyFont="1" applyFill="1" applyBorder="1" applyAlignment="1" applyProtection="1">
      <alignment horizontal="right"/>
      <protection hidden="1"/>
    </xf>
    <xf numFmtId="175" fontId="32" fillId="8" borderId="22" xfId="6" applyNumberFormat="1" applyFont="1" applyFill="1" applyBorder="1" applyAlignment="1" applyProtection="1">
      <alignment horizontal="right"/>
      <protection hidden="1"/>
    </xf>
    <xf numFmtId="175" fontId="32" fillId="8" borderId="20" xfId="6" applyNumberFormat="1" applyFont="1" applyFill="1" applyBorder="1" applyAlignment="1" applyProtection="1">
      <alignment horizontal="right"/>
      <protection hidden="1"/>
    </xf>
    <xf numFmtId="175" fontId="32" fillId="8" borderId="1" xfId="6" applyNumberFormat="1" applyFont="1" applyFill="1" applyBorder="1" applyAlignment="1" applyProtection="1">
      <alignment horizontal="right"/>
      <protection hidden="1"/>
    </xf>
    <xf numFmtId="0" fontId="38" fillId="8" borderId="0" xfId="6" applyFont="1" applyFill="1" applyAlignment="1" applyProtection="1">
      <alignment horizontal="right"/>
      <protection hidden="1"/>
    </xf>
    <xf numFmtId="0" fontId="38" fillId="8" borderId="23" xfId="6" applyFont="1" applyFill="1" applyBorder="1" applyAlignment="1" applyProtection="1">
      <alignment horizontal="right"/>
      <protection hidden="1"/>
    </xf>
    <xf numFmtId="0" fontId="38" fillId="8" borderId="26" xfId="6" applyFont="1" applyFill="1" applyBorder="1" applyAlignment="1" applyProtection="1">
      <alignment horizontal="right"/>
      <protection hidden="1"/>
    </xf>
    <xf numFmtId="0" fontId="39" fillId="8" borderId="27" xfId="6" applyFont="1" applyFill="1" applyBorder="1" applyAlignment="1" applyProtection="1">
      <alignment horizontal="center"/>
      <protection hidden="1"/>
    </xf>
    <xf numFmtId="175" fontId="32" fillId="8" borderId="0" xfId="6" applyNumberFormat="1" applyFont="1" applyFill="1" applyAlignment="1" applyProtection="1">
      <alignment horizontal="right"/>
      <protection hidden="1"/>
    </xf>
    <xf numFmtId="175" fontId="33" fillId="8" borderId="7" xfId="6" applyNumberFormat="1" applyFont="1" applyFill="1" applyBorder="1" applyAlignment="1" applyProtection="1">
      <alignment horizontal="center" vertical="center" wrapText="1"/>
      <protection hidden="1"/>
    </xf>
    <xf numFmtId="175" fontId="33" fillId="8" borderId="9" xfId="6" applyNumberFormat="1" applyFont="1" applyFill="1" applyBorder="1" applyAlignment="1" applyProtection="1">
      <alignment horizontal="center" vertical="center" wrapText="1"/>
      <protection hidden="1"/>
    </xf>
    <xf numFmtId="175" fontId="33" fillId="8" borderId="10" xfId="6" applyNumberFormat="1" applyFont="1" applyFill="1" applyBorder="1" applyAlignment="1" applyProtection="1">
      <alignment horizontal="center" vertical="center" wrapText="1"/>
      <protection hidden="1"/>
    </xf>
    <xf numFmtId="175" fontId="33" fillId="8" borderId="21" xfId="6" applyNumberFormat="1" applyFont="1" applyFill="1" applyBorder="1" applyAlignment="1" applyProtection="1">
      <alignment horizontal="center"/>
      <protection hidden="1"/>
    </xf>
    <xf numFmtId="175" fontId="33" fillId="8" borderId="22" xfId="6" applyNumberFormat="1" applyFont="1" applyFill="1" applyBorder="1" applyAlignment="1" applyProtection="1">
      <alignment horizontal="center"/>
      <protection hidden="1"/>
    </xf>
    <xf numFmtId="175" fontId="33" fillId="8" borderId="20" xfId="6" applyNumberFormat="1" applyFont="1" applyFill="1" applyBorder="1" applyAlignment="1" applyProtection="1">
      <alignment horizontal="center"/>
      <protection hidden="1"/>
    </xf>
    <xf numFmtId="177" fontId="32" fillId="8" borderId="21" xfId="6" applyNumberFormat="1" applyFont="1" applyFill="1" applyBorder="1" applyAlignment="1" applyProtection="1">
      <alignment horizontal="center" vertical="center"/>
      <protection hidden="1"/>
    </xf>
    <xf numFmtId="177" fontId="32" fillId="8" borderId="20" xfId="6" applyNumberFormat="1" applyFont="1" applyFill="1" applyBorder="1" applyAlignment="1" applyProtection="1">
      <alignment horizontal="center" vertical="center"/>
      <protection hidden="1"/>
    </xf>
    <xf numFmtId="175" fontId="35" fillId="27" borderId="21" xfId="6" applyNumberFormat="1" applyFont="1" applyFill="1" applyBorder="1" applyAlignment="1" applyProtection="1">
      <alignment horizontal="center"/>
      <protection hidden="1"/>
    </xf>
    <xf numFmtId="175" fontId="35" fillId="27" borderId="22" xfId="6" applyNumberFormat="1" applyFont="1" applyFill="1" applyBorder="1" applyAlignment="1" applyProtection="1">
      <alignment horizontal="center"/>
      <protection hidden="1"/>
    </xf>
    <xf numFmtId="0" fontId="1" fillId="0" borderId="0" xfId="4" applyAlignment="1" applyProtection="1">
      <alignment horizontal="right"/>
      <protection hidden="1"/>
    </xf>
    <xf numFmtId="0" fontId="18" fillId="22" borderId="0" xfId="4" applyFont="1" applyFill="1" applyAlignment="1" applyProtection="1">
      <alignment horizontal="center"/>
      <protection hidden="1"/>
    </xf>
    <xf numFmtId="10" fontId="1" fillId="17" borderId="0" xfId="2" applyNumberFormat="1" applyFill="1" applyAlignment="1" applyProtection="1">
      <alignment horizontal="center" vertical="center"/>
      <protection hidden="1"/>
    </xf>
    <xf numFmtId="10" fontId="1" fillId="29" borderId="0" xfId="2" applyNumberFormat="1" applyFill="1" applyAlignment="1" applyProtection="1">
      <alignment horizontal="center" vertical="center"/>
      <protection hidden="1"/>
    </xf>
    <xf numFmtId="0" fontId="47" fillId="0" borderId="0" xfId="4" applyFont="1" applyAlignment="1" applyProtection="1">
      <alignment horizontal="center"/>
      <protection hidden="1"/>
    </xf>
    <xf numFmtId="0" fontId="19" fillId="16" borderId="0" xfId="4" applyFont="1" applyFill="1" applyAlignment="1" applyProtection="1">
      <alignment horizontal="center"/>
      <protection hidden="1"/>
    </xf>
    <xf numFmtId="43" fontId="47" fillId="0" borderId="0" xfId="5" applyFont="1" applyAlignment="1" applyProtection="1">
      <alignment horizontal="center"/>
      <protection hidden="1"/>
    </xf>
    <xf numFmtId="10" fontId="1" fillId="31" borderId="0" xfId="2" applyNumberFormat="1" applyFill="1" applyAlignment="1" applyProtection="1">
      <alignment horizontal="center" vertical="center"/>
      <protection hidden="1"/>
    </xf>
    <xf numFmtId="10" fontId="1" fillId="28" borderId="0" xfId="2" applyNumberFormat="1" applyFill="1" applyAlignment="1" applyProtection="1">
      <alignment horizontal="center" vertical="center"/>
      <protection hidden="1"/>
    </xf>
    <xf numFmtId="10" fontId="1" fillId="30" borderId="0" xfId="2" applyNumberFormat="1" applyFill="1" applyAlignment="1" applyProtection="1">
      <alignment horizontal="center" vertical="center"/>
      <protection hidden="1"/>
    </xf>
    <xf numFmtId="0" fontId="3" fillId="5" borderId="0" xfId="4" applyFont="1" applyFill="1" applyAlignment="1" applyProtection="1">
      <alignment horizontal="center"/>
      <protection hidden="1"/>
    </xf>
    <xf numFmtId="0" fontId="15" fillId="0" borderId="0" xfId="4" applyFont="1" applyAlignment="1" applyProtection="1">
      <alignment horizontal="center"/>
      <protection hidden="1"/>
    </xf>
    <xf numFmtId="0" fontId="2" fillId="16" borderId="0" xfId="4" applyFont="1" applyFill="1" applyAlignment="1" applyProtection="1">
      <alignment horizontal="center"/>
      <protection hidden="1"/>
    </xf>
    <xf numFmtId="0" fontId="16" fillId="15" borderId="0" xfId="4" applyFont="1" applyFill="1" applyAlignment="1" applyProtection="1">
      <alignment horizontal="center" vertical="center"/>
      <protection hidden="1"/>
    </xf>
    <xf numFmtId="0" fontId="2" fillId="18" borderId="0" xfId="0" applyFont="1" applyFill="1" applyAlignment="1" applyProtection="1">
      <alignment horizontal="center"/>
      <protection hidden="1"/>
    </xf>
    <xf numFmtId="0" fontId="2" fillId="19" borderId="0" xfId="0" applyFont="1" applyFill="1" applyAlignment="1" applyProtection="1">
      <alignment horizontal="center"/>
      <protection hidden="1"/>
    </xf>
    <xf numFmtId="0" fontId="3" fillId="32" borderId="0" xfId="0" applyFont="1" applyFill="1" applyAlignment="1" applyProtection="1">
      <alignment horizontal="right"/>
      <protection hidden="1"/>
    </xf>
    <xf numFmtId="0" fontId="18" fillId="16" borderId="12" xfId="4" applyFont="1" applyFill="1" applyBorder="1" applyAlignment="1" applyProtection="1">
      <alignment horizontal="center"/>
      <protection hidden="1"/>
    </xf>
    <xf numFmtId="0" fontId="18" fillId="16" borderId="13" xfId="4" applyFont="1" applyFill="1" applyBorder="1" applyAlignment="1" applyProtection="1">
      <alignment horizontal="center"/>
      <protection hidden="1"/>
    </xf>
    <xf numFmtId="0" fontId="18" fillId="16" borderId="14" xfId="4" applyFont="1" applyFill="1" applyBorder="1" applyAlignment="1" applyProtection="1">
      <alignment horizontal="center"/>
      <protection hidden="1"/>
    </xf>
    <xf numFmtId="0" fontId="47" fillId="0" borderId="0" xfId="4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177" fontId="51" fillId="13" borderId="1" xfId="6" applyNumberFormat="1" applyFont="1" applyFill="1" applyBorder="1" applyAlignment="1" applyProtection="1">
      <alignment horizontal="center" vertical="center"/>
      <protection hidden="1"/>
    </xf>
    <xf numFmtId="177" fontId="36" fillId="13" borderId="1" xfId="6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58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21" fillId="0" borderId="0" xfId="0" applyFont="1" applyProtection="1">
      <protection hidden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4" fontId="7" fillId="0" borderId="0" xfId="2" applyNumberFormat="1" applyFont="1" applyAlignment="1" applyProtection="1">
      <alignment horizontal="left"/>
      <protection locked="0"/>
    </xf>
  </cellXfs>
  <cellStyles count="26">
    <cellStyle name="Date" xfId="25" xr:uid="{DCA814C8-CA85-4D02-9AB5-F4DC8BBBC274}"/>
    <cellStyle name="Encabezado 1 2" xfId="9" xr:uid="{EDB65319-A032-45B3-85A5-2795162256D3}"/>
    <cellStyle name="Encabezado 4 2" xfId="20" xr:uid="{87A346F5-5A65-4FF3-817C-9256D43F7A09}"/>
    <cellStyle name="Entrada 2" xfId="19" xr:uid="{C6445351-2BA2-496F-AE63-3DE524FFC8A4}"/>
    <cellStyle name="Fecha" xfId="17" xr:uid="{89B185CB-6452-453C-9984-69DDA81F9311}"/>
    <cellStyle name="Importe" xfId="13" xr:uid="{79B471F9-0D31-4E1B-B271-93BF1B5C7FFB}"/>
    <cellStyle name="Importe de la tabla" xfId="22" xr:uid="{9BE636E5-31A8-4229-8C24-B797D009EEF4}"/>
    <cellStyle name="Millares" xfId="5" builtinId="3"/>
    <cellStyle name="Millares 2" xfId="3" xr:uid="{9C3AEE15-9C63-4629-897D-A0AC4253DE00}"/>
    <cellStyle name="Millares 3" xfId="7" xr:uid="{A5762A84-8B50-4EA0-8C2D-7CF20635029E}"/>
    <cellStyle name="Moneda" xfId="1" builtinId="4"/>
    <cellStyle name="Moneda 3 2" xfId="24" xr:uid="{4A45EB8D-962B-4618-A976-DA3A24A3D1F5}"/>
    <cellStyle name="Moneda 4" xfId="23" xr:uid="{27C0179C-21B8-4763-A0BB-79624F44A443}"/>
    <cellStyle name="Normal" xfId="0" builtinId="0"/>
    <cellStyle name="Normal 2 2" xfId="4" xr:uid="{2EF59F74-11D7-4544-A508-225345B17AD1}"/>
    <cellStyle name="Normal 4" xfId="10" xr:uid="{FB230265-3185-4A09-8379-84667FF0E619}"/>
    <cellStyle name="Normal 5" xfId="6" xr:uid="{FBFD104E-7320-4B0D-9D2B-B251869FBFF3}"/>
    <cellStyle name="Número" xfId="16" xr:uid="{888F4E04-C18C-4C97-9628-5DACA614B8BE}"/>
    <cellStyle name="Porcentaje" xfId="2" builtinId="5"/>
    <cellStyle name="Porcentaje 3" xfId="15" xr:uid="{F58857FD-1A22-4BD7-8340-ED2CFAE2E4A1}"/>
    <cellStyle name="Porcentaje 4" xfId="8" xr:uid="{574E4592-47BB-46D7-B244-34F41B1A9EFB}"/>
    <cellStyle name="Resumen del préstamo" xfId="14" xr:uid="{A2CBF2DC-F9D2-4BAF-8A6B-A1EF5CA5E09E}"/>
    <cellStyle name="Texto explicativo 2" xfId="12" xr:uid="{AA715401-D13F-4540-88D6-D73CEC12E607}"/>
    <cellStyle name="Título 2 2" xfId="11" xr:uid="{6C5557C2-98CD-44B2-9076-FDAA9B8BC7AD}"/>
    <cellStyle name="Título 3 2" xfId="18" xr:uid="{CCDFCE4D-38E3-405C-B900-F507439A1ABB}"/>
    <cellStyle name="Título 4 alineado a la derecha" xfId="21" xr:uid="{7B464188-D6F2-45C6-9FDB-BEFBC469A0CC}"/>
  </cellStyles>
  <dxfs count="36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169" formatCode="_-[$$-540A]* #,##0.00_ ;_-[$$-540A]* \-#,##0.00\ ;_-[$$-540A]* &quot;-&quot;??_ ;_-@_ "/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168" formatCode="_-[$$-409]* #,##0.00_ ;_-[$$-409]* \-#,##0.00\ ;_-[$$-409]* &quot;-&quot;??_ ;_-@_ "/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168" formatCode="_-[$$-409]* #,##0.00_ ;_-[$$-409]* \-#,##0.00\ ;_-[$$-409]* &quot;-&quot;??_ ;_-@_ "/>
      <alignment horizontal="center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1" formatCode="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numFmt numFmtId="3" formatCode="#,##0"/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alignment horizontal="right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1"/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Loan Calculator" pivot="0" count="7" xr9:uid="{698BDBA6-AB1B-41F4-AB2D-E7AAC149CF75}">
      <tableStyleElement type="wholeTable" dxfId="366"/>
      <tableStyleElement type="headerRow" dxfId="365"/>
      <tableStyleElement type="totalRow" dxfId="364"/>
      <tableStyleElement type="firstColumn" dxfId="363"/>
      <tableStyleElement type="lastColumn" dxfId="362"/>
      <tableStyleElement type="firstRowStripe" dxfId="361"/>
      <tableStyleElement type="firstColumnStripe" dxfId="360"/>
    </tableStyle>
    <tableStyle name="Programación de la amortización del préstamo" pivot="0" count="7" xr9:uid="{FD4D222F-F1B3-47EE-9D2D-A1AB361E6FFB}">
      <tableStyleElement type="wholeTable" dxfId="359"/>
      <tableStyleElement type="headerRow" dxfId="358"/>
      <tableStyleElement type="totalRow" dxfId="357"/>
      <tableStyleElement type="firstColumn" dxfId="356"/>
      <tableStyleElement type="lastColumn" dxfId="355"/>
      <tableStyleElement type="firstRowStripe" dxfId="354"/>
      <tableStyleElement type="firstColumnStripe" dxfId="353"/>
    </tableStyle>
  </tableStyles>
  <colors>
    <mruColors>
      <color rgb="FF644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NI" sz="1800" b="1"/>
              <a:t>Evolución</a:t>
            </a:r>
            <a:r>
              <a:rPr lang="es-NI" sz="1800" b="1" baseline="0"/>
              <a:t> de Resultados de Inversión</a:t>
            </a:r>
            <a:endParaRPr lang="es-NI" sz="1800" b="1"/>
          </a:p>
        </c:rich>
      </c:tx>
      <c:layout>
        <c:manualLayout>
          <c:xMode val="edge"/>
          <c:yMode val="edge"/>
          <c:x val="0.376271841219947"/>
          <c:y val="2.25954023944752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Ventas Netas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Inversionista!$E$16:$I$16</c:f>
              <c:strCache>
                <c:ptCount val="5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</c:strCache>
            </c:strRef>
          </c:cat>
          <c:val>
            <c:numRef>
              <c:f>Inversionista!$E$31:$I$31</c:f>
              <c:numCache>
                <c:formatCode>[$$-409]#,##0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5-467C-9F5B-CE459F275970}"/>
            </c:ext>
          </c:extLst>
        </c:ser>
        <c:ser>
          <c:idx val="2"/>
          <c:order val="2"/>
          <c:tx>
            <c:v>Retorno Inversor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9726655212931708E-2"/>
                  <c:y val="-7.50800610811215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CA-4DA9-A9DC-62886FAAFB50}"/>
                </c:ext>
              </c:extLst>
            </c:dLbl>
            <c:dLbl>
              <c:idx val="3"/>
              <c:layout>
                <c:manualLayout>
                  <c:x val="3.7158319016164748E-3"/>
                  <c:y val="-5.25562496711539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CA-4DA9-A9DC-62886FAAFB50}"/>
                </c:ext>
              </c:extLst>
            </c:dLbl>
            <c:spPr>
              <a:solidFill>
                <a:srgbClr val="70AD47">
                  <a:lumMod val="60000"/>
                  <a:lumOff val="40000"/>
                </a:srgb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Inversionista!$E$16:$I$16</c:f>
              <c:strCache>
                <c:ptCount val="5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</c:strCache>
              <c:extLst xmlns:c15="http://schemas.microsoft.com/office/drawing/2012/chart"/>
            </c:strRef>
          </c:cat>
          <c:val>
            <c:numRef>
              <c:f>Inversionista!$E$10:$I$10</c:f>
              <c:numCache>
                <c:formatCode>[$$-409]#,##0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6D5-467C-9F5B-CE459F275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599976"/>
        <c:axId val="502600368"/>
        <c:extLst/>
      </c:barChart>
      <c:lineChart>
        <c:grouping val="standard"/>
        <c:varyColors val="0"/>
        <c:ser>
          <c:idx val="1"/>
          <c:order val="1"/>
          <c:tx>
            <c:v>FNC Inversionista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3250012873748298E-2"/>
                  <c:y val="-0.106961427023371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CA-4DA9-A9DC-62886FAAFB50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Inversionista!$E$16:$I$16</c:f>
              <c:strCache>
                <c:ptCount val="5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</c:strCache>
            </c:strRef>
          </c:cat>
          <c:val>
            <c:numRef>
              <c:f>Inversionista!$E$50:$I$50</c:f>
              <c:numCache>
                <c:formatCode>[$$-409]#,##0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6D5-467C-9F5B-CE459F275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589392"/>
        <c:axId val="502589000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Inversionista!$C$13</c15:sqref>
                        </c15:formulaRef>
                      </c:ext>
                    </c:extLst>
                    <c:strCache>
                      <c:ptCount val="1"/>
                      <c:pt idx="0">
                        <c:v>% Free Cash Flow Inversionista vs Venta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Inversionista!$E$16:$I$16</c15:sqref>
                        </c15:formulaRef>
                      </c:ext>
                    </c:extLst>
                    <c:strCache>
                      <c:ptCount val="5"/>
                      <c:pt idx="0">
                        <c:v>Año 1</c:v>
                      </c:pt>
                      <c:pt idx="1">
                        <c:v>Año 2</c:v>
                      </c:pt>
                      <c:pt idx="2">
                        <c:v>Año 3</c:v>
                      </c:pt>
                      <c:pt idx="3">
                        <c:v>Año 4</c:v>
                      </c:pt>
                      <c:pt idx="4">
                        <c:v>Año 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Inversionista!$E$13:$I$13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4-B6D5-467C-9F5B-CE459F275970}"/>
                  </c:ext>
                </c:extLst>
              </c15:ser>
            </c15:filteredLineSeries>
          </c:ext>
        </c:extLst>
      </c:lineChart>
      <c:catAx>
        <c:axId val="50259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600368"/>
        <c:crosses val="autoZero"/>
        <c:auto val="1"/>
        <c:lblAlgn val="ctr"/>
        <c:lblOffset val="100"/>
        <c:noMultiLvlLbl val="0"/>
      </c:catAx>
      <c:valAx>
        <c:axId val="502600368"/>
        <c:scaling>
          <c:orientation val="minMax"/>
        </c:scaling>
        <c:delete val="0"/>
        <c:axPos val="l"/>
        <c:numFmt formatCode="[$$-409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99976"/>
        <c:crosses val="autoZero"/>
        <c:crossBetween val="between"/>
      </c:valAx>
      <c:valAx>
        <c:axId val="502589000"/>
        <c:scaling>
          <c:orientation val="minMax"/>
        </c:scaling>
        <c:delete val="0"/>
        <c:axPos val="r"/>
        <c:numFmt formatCode="[$$-409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89392"/>
        <c:crosses val="max"/>
        <c:crossBetween val="between"/>
      </c:valAx>
      <c:catAx>
        <c:axId val="50258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2589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Inversionista!$C$17</c:f>
              <c:strCache>
                <c:ptCount val="1"/>
                <c:pt idx="0">
                  <c:v>Ventas Netas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Inversionista!$E$16:$I$16</c:f>
              <c:strCache>
                <c:ptCount val="5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</c:strCache>
            </c:strRef>
          </c:cat>
          <c:val>
            <c:numRef>
              <c:f>Inversionista!$E$17:$I$17</c:f>
              <c:numCache>
                <c:formatCode>[$$-409]#,##0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2-4FBF-9C6A-6D22165D1B9D}"/>
            </c:ext>
          </c:extLst>
        </c:ser>
        <c:ser>
          <c:idx val="2"/>
          <c:order val="2"/>
          <c:tx>
            <c:strRef>
              <c:f>Inversionista!$C$10</c:f>
              <c:strCache>
                <c:ptCount val="1"/>
                <c:pt idx="0">
                  <c:v>Comportamient de Crecimiento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Inversionista!$E$16:$I$16</c:f>
              <c:strCache>
                <c:ptCount val="5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</c:strCache>
            </c:strRef>
          </c:cat>
          <c:val>
            <c:numRef>
              <c:f>Inversionista!$E$10:$I$10</c:f>
              <c:numCache>
                <c:formatCode>[$$-409]#,##0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2-4FBF-9C6A-6D22165D1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599976"/>
        <c:axId val="502600368"/>
      </c:barChart>
      <c:lineChart>
        <c:grouping val="standard"/>
        <c:varyColors val="0"/>
        <c:ser>
          <c:idx val="1"/>
          <c:order val="1"/>
          <c:tx>
            <c:strRef>
              <c:f>Inversionista!$C$11</c:f>
              <c:strCache>
                <c:ptCount val="1"/>
                <c:pt idx="0">
                  <c:v>Retorno Anual - Rentabilidad del Proyecto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Inversionista!$E$11:$I$11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40E2-4FBF-9C6A-6D22165D1B9D}"/>
            </c:ext>
          </c:extLst>
        </c:ser>
        <c:ser>
          <c:idx val="3"/>
          <c:order val="3"/>
          <c:tx>
            <c:strRef>
              <c:f>Inversionista!$C$13</c:f>
              <c:strCache>
                <c:ptCount val="1"/>
                <c:pt idx="0">
                  <c:v>% Free Cash Flow Inversionista vs Venta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Inversionista!$E$13:$I$13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0E2-4FBF-9C6A-6D22165D1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589392"/>
        <c:axId val="502589000"/>
      </c:lineChart>
      <c:catAx>
        <c:axId val="50259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600368"/>
        <c:crosses val="autoZero"/>
        <c:auto val="1"/>
        <c:lblAlgn val="ctr"/>
        <c:lblOffset val="100"/>
        <c:noMultiLvlLbl val="0"/>
      </c:catAx>
      <c:valAx>
        <c:axId val="502600368"/>
        <c:scaling>
          <c:orientation val="minMax"/>
        </c:scaling>
        <c:delete val="0"/>
        <c:axPos val="l"/>
        <c:numFmt formatCode="[$$-409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99976"/>
        <c:crosses val="autoZero"/>
        <c:crossBetween val="between"/>
      </c:valAx>
      <c:valAx>
        <c:axId val="5025890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2589392"/>
        <c:crosses val="max"/>
        <c:crossBetween val="between"/>
      </c:valAx>
      <c:catAx>
        <c:axId val="502589392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589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Par&#225;metros!W2"/><Relationship Id="rId13" Type="http://schemas.openxmlformats.org/officeDocument/2006/relationships/hyperlink" Target="#Par&#225;metros!EH1"/><Relationship Id="rId18" Type="http://schemas.openxmlformats.org/officeDocument/2006/relationships/hyperlink" Target="#Par&#225;metros!IJ1"/><Relationship Id="rId3" Type="http://schemas.openxmlformats.org/officeDocument/2006/relationships/image" Target="../media/image3.png"/><Relationship Id="rId21" Type="http://schemas.openxmlformats.org/officeDocument/2006/relationships/hyperlink" Target="#Par&#225;metros!GK77"/><Relationship Id="rId7" Type="http://schemas.openxmlformats.org/officeDocument/2006/relationships/hyperlink" Target="#Par&#225;metros!B1"/><Relationship Id="rId12" Type="http://schemas.openxmlformats.org/officeDocument/2006/relationships/hyperlink" Target="#Par&#225;metros!DN1"/><Relationship Id="rId17" Type="http://schemas.openxmlformats.org/officeDocument/2006/relationships/hyperlink" Target="#Par&#225;metros!HL1"/><Relationship Id="rId25" Type="http://schemas.openxmlformats.org/officeDocument/2006/relationships/hyperlink" Target="#Par&#225;metros!FT67"/><Relationship Id="rId2" Type="http://schemas.openxmlformats.org/officeDocument/2006/relationships/image" Target="../media/image2.png"/><Relationship Id="rId16" Type="http://schemas.openxmlformats.org/officeDocument/2006/relationships/hyperlink" Target="#'Flujo Operativo'!J80"/><Relationship Id="rId20" Type="http://schemas.openxmlformats.org/officeDocument/2006/relationships/hyperlink" Target="#Par&#225;metros!GJ1"/><Relationship Id="rId1" Type="http://schemas.openxmlformats.org/officeDocument/2006/relationships/image" Target="../media/image1.png"/><Relationship Id="rId6" Type="http://schemas.openxmlformats.org/officeDocument/2006/relationships/hyperlink" Target="#Inversionista!B109"/><Relationship Id="rId11" Type="http://schemas.openxmlformats.org/officeDocument/2006/relationships/hyperlink" Target="#Par&#225;metros!CT1"/><Relationship Id="rId24" Type="http://schemas.openxmlformats.org/officeDocument/2006/relationships/hyperlink" Target="#Par&#225;metros!BH2"/><Relationship Id="rId5" Type="http://schemas.openxmlformats.org/officeDocument/2006/relationships/hyperlink" Target="#Inversionista!B79"/><Relationship Id="rId15" Type="http://schemas.openxmlformats.org/officeDocument/2006/relationships/hyperlink" Target="#Par&#225;metros!HA1"/><Relationship Id="rId23" Type="http://schemas.openxmlformats.org/officeDocument/2006/relationships/hyperlink" Target="#Par&#225;metros!GJ138"/><Relationship Id="rId10" Type="http://schemas.openxmlformats.org/officeDocument/2006/relationships/hyperlink" Target="#Par&#225;metros!BZ1"/><Relationship Id="rId19" Type="http://schemas.openxmlformats.org/officeDocument/2006/relationships/hyperlink" Target="#Par&#225;metros!FR1"/><Relationship Id="rId4" Type="http://schemas.openxmlformats.org/officeDocument/2006/relationships/hyperlink" Target="#Inversionista!B1"/><Relationship Id="rId9" Type="http://schemas.openxmlformats.org/officeDocument/2006/relationships/hyperlink" Target="#Par&#225;metros!AX1"/><Relationship Id="rId14" Type="http://schemas.openxmlformats.org/officeDocument/2006/relationships/hyperlink" Target="#Par&#225;metros!FB1"/><Relationship Id="rId22" Type="http://schemas.openxmlformats.org/officeDocument/2006/relationships/hyperlink" Target="#Par&#225;metros!GK10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Estructur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Estructur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Estructur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Estructu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4</xdr:row>
      <xdr:rowOff>7620</xdr:rowOff>
    </xdr:from>
    <xdr:to>
      <xdr:col>2</xdr:col>
      <xdr:colOff>629120</xdr:colOff>
      <xdr:row>10</xdr:row>
      <xdr:rowOff>91440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FBDBE4-DD4E-5688-B9C5-6E7A927BE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190500"/>
          <a:ext cx="2063585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10</xdr:row>
      <xdr:rowOff>127561</xdr:rowOff>
    </xdr:from>
    <xdr:to>
      <xdr:col>2</xdr:col>
      <xdr:colOff>228600</xdr:colOff>
      <xdr:row>15</xdr:row>
      <xdr:rowOff>132550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E2F4F99-9F2F-7E62-F434-2E1FBE622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1552501"/>
          <a:ext cx="1447800" cy="1073694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16</xdr:row>
      <xdr:rowOff>86453</xdr:rowOff>
    </xdr:from>
    <xdr:to>
      <xdr:col>2</xdr:col>
      <xdr:colOff>495300</xdr:colOff>
      <xdr:row>20</xdr:row>
      <xdr:rowOff>56198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9C8EEDF-2D6A-732C-4C99-55113C5C4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2837273"/>
          <a:ext cx="1920240" cy="847950"/>
        </a:xfrm>
        <a:prstGeom prst="rect">
          <a:avLst/>
        </a:prstGeom>
      </xdr:spPr>
    </xdr:pic>
    <xdr:clientData/>
  </xdr:twoCellAnchor>
  <xdr:twoCellAnchor>
    <xdr:from>
      <xdr:col>3</xdr:col>
      <xdr:colOff>285751</xdr:colOff>
      <xdr:row>3</xdr:row>
      <xdr:rowOff>249556</xdr:rowOff>
    </xdr:from>
    <xdr:to>
      <xdr:col>3</xdr:col>
      <xdr:colOff>721351</xdr:colOff>
      <xdr:row>5</xdr:row>
      <xdr:rowOff>36196</xdr:rowOff>
    </xdr:to>
    <xdr:sp macro="" textlink="">
      <xdr:nvSpPr>
        <xdr:cNvPr id="6" name="Rectángulo: esquinas redondeadas 5">
          <a:hlinkClick xmlns:r="http://schemas.openxmlformats.org/officeDocument/2006/relationships" r:id="rId4" tooltip="Vea información"/>
          <a:extLst>
            <a:ext uri="{FF2B5EF4-FFF2-40B4-BE49-F238E27FC236}">
              <a16:creationId xmlns:a16="http://schemas.microsoft.com/office/drawing/2014/main" id="{A2FFE79B-498A-4BCC-998A-8227581D705A}"/>
            </a:ext>
          </a:extLst>
        </xdr:cNvPr>
        <xdr:cNvSpPr/>
      </xdr:nvSpPr>
      <xdr:spPr>
        <a:xfrm>
          <a:off x="2657476" y="249556"/>
          <a:ext cx="435600" cy="25336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287656</xdr:colOff>
      <xdr:row>5</xdr:row>
      <xdr:rowOff>169546</xdr:rowOff>
    </xdr:from>
    <xdr:to>
      <xdr:col>3</xdr:col>
      <xdr:colOff>723256</xdr:colOff>
      <xdr:row>7</xdr:row>
      <xdr:rowOff>53341</xdr:rowOff>
    </xdr:to>
    <xdr:sp macro="" textlink="">
      <xdr:nvSpPr>
        <xdr:cNvPr id="8" name="Rectángulo: esquinas redondeadas 7">
          <a:hlinkClick xmlns:r="http://schemas.openxmlformats.org/officeDocument/2006/relationships" r:id="rId5" tooltip="Vea información"/>
          <a:extLst>
            <a:ext uri="{FF2B5EF4-FFF2-40B4-BE49-F238E27FC236}">
              <a16:creationId xmlns:a16="http://schemas.microsoft.com/office/drawing/2014/main" id="{248E69ED-3647-4EBB-83AD-6C3505C75D59}"/>
            </a:ext>
          </a:extLst>
        </xdr:cNvPr>
        <xdr:cNvSpPr/>
      </xdr:nvSpPr>
      <xdr:spPr>
        <a:xfrm>
          <a:off x="2659381" y="636271"/>
          <a:ext cx="435600" cy="26479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287656</xdr:colOff>
      <xdr:row>7</xdr:row>
      <xdr:rowOff>188596</xdr:rowOff>
    </xdr:from>
    <xdr:to>
      <xdr:col>3</xdr:col>
      <xdr:colOff>723256</xdr:colOff>
      <xdr:row>9</xdr:row>
      <xdr:rowOff>36196</xdr:rowOff>
    </xdr:to>
    <xdr:sp macro="" textlink="">
      <xdr:nvSpPr>
        <xdr:cNvPr id="10" name="Rectángulo: esquinas redondeadas 9">
          <a:hlinkClick xmlns:r="http://schemas.openxmlformats.org/officeDocument/2006/relationships" r:id="rId6" tooltip="Vea información"/>
          <a:extLst>
            <a:ext uri="{FF2B5EF4-FFF2-40B4-BE49-F238E27FC236}">
              <a16:creationId xmlns:a16="http://schemas.microsoft.com/office/drawing/2014/main" id="{82A2CC41-7854-43CF-B50E-29B9953CA1E9}"/>
            </a:ext>
          </a:extLst>
        </xdr:cNvPr>
        <xdr:cNvSpPr/>
      </xdr:nvSpPr>
      <xdr:spPr>
        <a:xfrm>
          <a:off x="2659381" y="1036321"/>
          <a:ext cx="435600" cy="24765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283846</xdr:colOff>
      <xdr:row>10</xdr:row>
      <xdr:rowOff>245746</xdr:rowOff>
    </xdr:from>
    <xdr:to>
      <xdr:col>3</xdr:col>
      <xdr:colOff>719446</xdr:colOff>
      <xdr:row>12</xdr:row>
      <xdr:rowOff>57151</xdr:rowOff>
    </xdr:to>
    <xdr:sp macro="" textlink="">
      <xdr:nvSpPr>
        <xdr:cNvPr id="12" name="Rectángulo: esquinas redondeadas 11">
          <a:hlinkClick xmlns:r="http://schemas.openxmlformats.org/officeDocument/2006/relationships" r:id="rId7" tooltip="Vea información"/>
          <a:extLst>
            <a:ext uri="{FF2B5EF4-FFF2-40B4-BE49-F238E27FC236}">
              <a16:creationId xmlns:a16="http://schemas.microsoft.com/office/drawing/2014/main" id="{AC6FC2F1-F64A-4EDB-8385-B1EA30C3FD25}"/>
            </a:ext>
          </a:extLst>
        </xdr:cNvPr>
        <xdr:cNvSpPr/>
      </xdr:nvSpPr>
      <xdr:spPr>
        <a:xfrm>
          <a:off x="2655571" y="1693546"/>
          <a:ext cx="435600" cy="27813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283846</xdr:colOff>
      <xdr:row>12</xdr:row>
      <xdr:rowOff>169546</xdr:rowOff>
    </xdr:from>
    <xdr:to>
      <xdr:col>3</xdr:col>
      <xdr:colOff>719446</xdr:colOff>
      <xdr:row>14</xdr:row>
      <xdr:rowOff>38101</xdr:rowOff>
    </xdr:to>
    <xdr:sp macro="" textlink="">
      <xdr:nvSpPr>
        <xdr:cNvPr id="13" name="Rectángulo: esquinas redondeadas 12">
          <a:hlinkClick xmlns:r="http://schemas.openxmlformats.org/officeDocument/2006/relationships" r:id="rId8" tooltip="Vea información"/>
          <a:extLst>
            <a:ext uri="{FF2B5EF4-FFF2-40B4-BE49-F238E27FC236}">
              <a16:creationId xmlns:a16="http://schemas.microsoft.com/office/drawing/2014/main" id="{0C3838E2-C912-4FBB-97D1-23D94460DBD8}"/>
            </a:ext>
          </a:extLst>
        </xdr:cNvPr>
        <xdr:cNvSpPr/>
      </xdr:nvSpPr>
      <xdr:spPr>
        <a:xfrm>
          <a:off x="2655571" y="2084071"/>
          <a:ext cx="435600" cy="26860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283846</xdr:colOff>
      <xdr:row>14</xdr:row>
      <xdr:rowOff>188596</xdr:rowOff>
    </xdr:from>
    <xdr:to>
      <xdr:col>3</xdr:col>
      <xdr:colOff>719446</xdr:colOff>
      <xdr:row>16</xdr:row>
      <xdr:rowOff>36196</xdr:rowOff>
    </xdr:to>
    <xdr:sp macro="" textlink="">
      <xdr:nvSpPr>
        <xdr:cNvPr id="14" name="Rectángulo: esquinas redondeadas 13">
          <a:hlinkClick xmlns:r="http://schemas.openxmlformats.org/officeDocument/2006/relationships" r:id="rId9" tooltip="Vea información"/>
          <a:extLst>
            <a:ext uri="{FF2B5EF4-FFF2-40B4-BE49-F238E27FC236}">
              <a16:creationId xmlns:a16="http://schemas.microsoft.com/office/drawing/2014/main" id="{491F4FE7-5D65-4422-A65B-B18F6B45130B}"/>
            </a:ext>
          </a:extLst>
        </xdr:cNvPr>
        <xdr:cNvSpPr/>
      </xdr:nvSpPr>
      <xdr:spPr>
        <a:xfrm>
          <a:off x="2655571" y="2503171"/>
          <a:ext cx="435600" cy="24765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283845</xdr:colOff>
      <xdr:row>19</xdr:row>
      <xdr:rowOff>186691</xdr:rowOff>
    </xdr:from>
    <xdr:to>
      <xdr:col>3</xdr:col>
      <xdr:colOff>740400</xdr:colOff>
      <xdr:row>21</xdr:row>
      <xdr:rowOff>55246</xdr:rowOff>
    </xdr:to>
    <xdr:sp macro="" textlink="">
      <xdr:nvSpPr>
        <xdr:cNvPr id="16" name="Rectángulo: esquinas redondeadas 15">
          <a:hlinkClick xmlns:r="http://schemas.openxmlformats.org/officeDocument/2006/relationships" r:id="rId10" tooltip="Vea información"/>
          <a:extLst>
            <a:ext uri="{FF2B5EF4-FFF2-40B4-BE49-F238E27FC236}">
              <a16:creationId xmlns:a16="http://schemas.microsoft.com/office/drawing/2014/main" id="{8BADF860-0A6F-46FE-B01A-929B673CCBD3}"/>
            </a:ext>
          </a:extLst>
        </xdr:cNvPr>
        <xdr:cNvSpPr/>
      </xdr:nvSpPr>
      <xdr:spPr>
        <a:xfrm>
          <a:off x="2655570" y="3568066"/>
          <a:ext cx="456555" cy="26860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283845</xdr:colOff>
      <xdr:row>22</xdr:row>
      <xdr:rowOff>1</xdr:rowOff>
    </xdr:from>
    <xdr:to>
      <xdr:col>3</xdr:col>
      <xdr:colOff>740400</xdr:colOff>
      <xdr:row>23</xdr:row>
      <xdr:rowOff>47626</xdr:rowOff>
    </xdr:to>
    <xdr:sp macro="" textlink="">
      <xdr:nvSpPr>
        <xdr:cNvPr id="17" name="Rectángulo: esquinas redondeadas 16">
          <a:hlinkClick xmlns:r="http://schemas.openxmlformats.org/officeDocument/2006/relationships" r:id="rId11" tooltip="Vea información"/>
          <a:extLst>
            <a:ext uri="{FF2B5EF4-FFF2-40B4-BE49-F238E27FC236}">
              <a16:creationId xmlns:a16="http://schemas.microsoft.com/office/drawing/2014/main" id="{071214A5-A333-488F-A6C6-E36AADFAC2C3}"/>
            </a:ext>
          </a:extLst>
        </xdr:cNvPr>
        <xdr:cNvSpPr/>
      </xdr:nvSpPr>
      <xdr:spPr>
        <a:xfrm>
          <a:off x="2655570" y="3981451"/>
          <a:ext cx="456555" cy="24765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295275</xdr:colOff>
      <xdr:row>23</xdr:row>
      <xdr:rowOff>190500</xdr:rowOff>
    </xdr:from>
    <xdr:to>
      <xdr:col>3</xdr:col>
      <xdr:colOff>730875</xdr:colOff>
      <xdr:row>25</xdr:row>
      <xdr:rowOff>57150</xdr:rowOff>
    </xdr:to>
    <xdr:sp macro="" textlink="">
      <xdr:nvSpPr>
        <xdr:cNvPr id="20" name="Rectángulo: esquinas redondeadas 19">
          <a:hlinkClick xmlns:r="http://schemas.openxmlformats.org/officeDocument/2006/relationships" r:id="rId12" tooltip="Vea información"/>
          <a:extLst>
            <a:ext uri="{FF2B5EF4-FFF2-40B4-BE49-F238E27FC236}">
              <a16:creationId xmlns:a16="http://schemas.microsoft.com/office/drawing/2014/main" id="{EBA74575-86B2-45AC-99E5-3A97563EF188}"/>
            </a:ext>
          </a:extLst>
        </xdr:cNvPr>
        <xdr:cNvSpPr/>
      </xdr:nvSpPr>
      <xdr:spPr>
        <a:xfrm>
          <a:off x="2667000" y="4371975"/>
          <a:ext cx="435600" cy="26670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291465</xdr:colOff>
      <xdr:row>25</xdr:row>
      <xdr:rowOff>173355</xdr:rowOff>
    </xdr:from>
    <xdr:to>
      <xdr:col>3</xdr:col>
      <xdr:colOff>727065</xdr:colOff>
      <xdr:row>27</xdr:row>
      <xdr:rowOff>36195</xdr:rowOff>
    </xdr:to>
    <xdr:sp macro="" textlink="">
      <xdr:nvSpPr>
        <xdr:cNvPr id="21" name="Rectángulo: esquinas redondeadas 20">
          <a:hlinkClick xmlns:r="http://schemas.openxmlformats.org/officeDocument/2006/relationships" r:id="rId13" tooltip="Vea información"/>
          <a:extLst>
            <a:ext uri="{FF2B5EF4-FFF2-40B4-BE49-F238E27FC236}">
              <a16:creationId xmlns:a16="http://schemas.microsoft.com/office/drawing/2014/main" id="{5C030C2C-9F99-4515-8BB6-D46C414BFD29}"/>
            </a:ext>
          </a:extLst>
        </xdr:cNvPr>
        <xdr:cNvSpPr/>
      </xdr:nvSpPr>
      <xdr:spPr>
        <a:xfrm>
          <a:off x="2663190" y="4754880"/>
          <a:ext cx="435600" cy="26289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291465</xdr:colOff>
      <xdr:row>27</xdr:row>
      <xdr:rowOff>190500</xdr:rowOff>
    </xdr:from>
    <xdr:to>
      <xdr:col>3</xdr:col>
      <xdr:colOff>727065</xdr:colOff>
      <xdr:row>29</xdr:row>
      <xdr:rowOff>36195</xdr:rowOff>
    </xdr:to>
    <xdr:sp macro="" textlink="">
      <xdr:nvSpPr>
        <xdr:cNvPr id="22" name="Rectángulo: esquinas redondeadas 21">
          <a:hlinkClick xmlns:r="http://schemas.openxmlformats.org/officeDocument/2006/relationships" r:id="rId14" tooltip="Vea información"/>
          <a:extLst>
            <a:ext uri="{FF2B5EF4-FFF2-40B4-BE49-F238E27FC236}">
              <a16:creationId xmlns:a16="http://schemas.microsoft.com/office/drawing/2014/main" id="{5AD0F48E-3585-4A47-92BC-CB28AB0476AE}"/>
            </a:ext>
          </a:extLst>
        </xdr:cNvPr>
        <xdr:cNvSpPr/>
      </xdr:nvSpPr>
      <xdr:spPr>
        <a:xfrm>
          <a:off x="2663190" y="5172075"/>
          <a:ext cx="435600" cy="24574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281941</xdr:colOff>
      <xdr:row>3</xdr:row>
      <xdr:rowOff>236221</xdr:rowOff>
    </xdr:from>
    <xdr:to>
      <xdr:col>10</xdr:col>
      <xdr:colOff>717541</xdr:colOff>
      <xdr:row>5</xdr:row>
      <xdr:rowOff>26671</xdr:rowOff>
    </xdr:to>
    <xdr:sp macro="" textlink="">
      <xdr:nvSpPr>
        <xdr:cNvPr id="23" name="Rectángulo: esquinas redondeadas 22">
          <a:hlinkClick xmlns:r="http://schemas.openxmlformats.org/officeDocument/2006/relationships" r:id="rId15" tooltip="Vea información"/>
          <a:extLst>
            <a:ext uri="{FF2B5EF4-FFF2-40B4-BE49-F238E27FC236}">
              <a16:creationId xmlns:a16="http://schemas.microsoft.com/office/drawing/2014/main" id="{A09F10E8-49DA-4E88-8FDC-5A8B7938D19E}"/>
            </a:ext>
          </a:extLst>
        </xdr:cNvPr>
        <xdr:cNvSpPr/>
      </xdr:nvSpPr>
      <xdr:spPr>
        <a:xfrm>
          <a:off x="8187691" y="236221"/>
          <a:ext cx="435600" cy="25717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283846</xdr:colOff>
      <xdr:row>5</xdr:row>
      <xdr:rowOff>163831</xdr:rowOff>
    </xdr:from>
    <xdr:to>
      <xdr:col>10</xdr:col>
      <xdr:colOff>719446</xdr:colOff>
      <xdr:row>7</xdr:row>
      <xdr:rowOff>45721</xdr:rowOff>
    </xdr:to>
    <xdr:sp macro="" textlink="">
      <xdr:nvSpPr>
        <xdr:cNvPr id="24" name="Rectángulo: esquinas redondeadas 23">
          <a:hlinkClick xmlns:r="http://schemas.openxmlformats.org/officeDocument/2006/relationships" r:id="rId16" tooltip="Vea información"/>
          <a:extLst>
            <a:ext uri="{FF2B5EF4-FFF2-40B4-BE49-F238E27FC236}">
              <a16:creationId xmlns:a16="http://schemas.microsoft.com/office/drawing/2014/main" id="{B285250F-0EDD-CB1C-D12E-4479B09CE38E}"/>
            </a:ext>
          </a:extLst>
        </xdr:cNvPr>
        <xdr:cNvSpPr/>
      </xdr:nvSpPr>
      <xdr:spPr>
        <a:xfrm>
          <a:off x="8189596" y="630556"/>
          <a:ext cx="435600" cy="26289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293371</xdr:colOff>
      <xdr:row>10</xdr:row>
      <xdr:rowOff>249556</xdr:rowOff>
    </xdr:from>
    <xdr:to>
      <xdr:col>10</xdr:col>
      <xdr:colOff>728971</xdr:colOff>
      <xdr:row>12</xdr:row>
      <xdr:rowOff>38101</xdr:rowOff>
    </xdr:to>
    <xdr:sp macro="" textlink="">
      <xdr:nvSpPr>
        <xdr:cNvPr id="25" name="Rectángulo: esquinas redondeadas 24">
          <a:hlinkClick xmlns:r="http://schemas.openxmlformats.org/officeDocument/2006/relationships" r:id="rId17" tooltip="Vea información"/>
          <a:extLst>
            <a:ext uri="{FF2B5EF4-FFF2-40B4-BE49-F238E27FC236}">
              <a16:creationId xmlns:a16="http://schemas.microsoft.com/office/drawing/2014/main" id="{23F659FC-59C0-2208-3EFE-E76AA285627A}"/>
            </a:ext>
          </a:extLst>
        </xdr:cNvPr>
        <xdr:cNvSpPr/>
      </xdr:nvSpPr>
      <xdr:spPr>
        <a:xfrm>
          <a:off x="8199121" y="1697356"/>
          <a:ext cx="435600" cy="25527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287656</xdr:colOff>
      <xdr:row>12</xdr:row>
      <xdr:rowOff>188596</xdr:rowOff>
    </xdr:from>
    <xdr:to>
      <xdr:col>10</xdr:col>
      <xdr:colOff>723256</xdr:colOff>
      <xdr:row>14</xdr:row>
      <xdr:rowOff>38101</xdr:rowOff>
    </xdr:to>
    <xdr:sp macro="" textlink="">
      <xdr:nvSpPr>
        <xdr:cNvPr id="26" name="Rectángulo: esquinas redondeadas 25">
          <a:hlinkClick xmlns:r="http://schemas.openxmlformats.org/officeDocument/2006/relationships" r:id="rId18" tooltip="Vea información"/>
          <a:extLst>
            <a:ext uri="{FF2B5EF4-FFF2-40B4-BE49-F238E27FC236}">
              <a16:creationId xmlns:a16="http://schemas.microsoft.com/office/drawing/2014/main" id="{D8AE8860-E487-EA4C-2556-A6D16A6825A1}"/>
            </a:ext>
          </a:extLst>
        </xdr:cNvPr>
        <xdr:cNvSpPr/>
      </xdr:nvSpPr>
      <xdr:spPr>
        <a:xfrm>
          <a:off x="8193406" y="2103121"/>
          <a:ext cx="435600" cy="24955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291465</xdr:colOff>
      <xdr:row>19</xdr:row>
      <xdr:rowOff>171451</xdr:rowOff>
    </xdr:from>
    <xdr:to>
      <xdr:col>10</xdr:col>
      <xdr:colOff>727065</xdr:colOff>
      <xdr:row>21</xdr:row>
      <xdr:rowOff>40006</xdr:rowOff>
    </xdr:to>
    <xdr:sp macro="" textlink="">
      <xdr:nvSpPr>
        <xdr:cNvPr id="28" name="Rectángulo: esquinas redondeadas 27">
          <a:hlinkClick xmlns:r="http://schemas.openxmlformats.org/officeDocument/2006/relationships" r:id="rId19" tooltip="Vea información"/>
          <a:extLst>
            <a:ext uri="{FF2B5EF4-FFF2-40B4-BE49-F238E27FC236}">
              <a16:creationId xmlns:a16="http://schemas.microsoft.com/office/drawing/2014/main" id="{218D9440-88DF-5B6A-48EE-9C5022245788}"/>
            </a:ext>
          </a:extLst>
        </xdr:cNvPr>
        <xdr:cNvSpPr/>
      </xdr:nvSpPr>
      <xdr:spPr>
        <a:xfrm>
          <a:off x="8197215" y="3552826"/>
          <a:ext cx="435600" cy="26860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287655</xdr:colOff>
      <xdr:row>22</xdr:row>
      <xdr:rowOff>1906</xdr:rowOff>
    </xdr:from>
    <xdr:to>
      <xdr:col>10</xdr:col>
      <xdr:colOff>727065</xdr:colOff>
      <xdr:row>23</xdr:row>
      <xdr:rowOff>43816</xdr:rowOff>
    </xdr:to>
    <xdr:sp macro="" textlink="">
      <xdr:nvSpPr>
        <xdr:cNvPr id="29" name="Rectángulo: esquinas redondeadas 28">
          <a:hlinkClick xmlns:r="http://schemas.openxmlformats.org/officeDocument/2006/relationships" r:id="rId20" tooltip="Vea información"/>
          <a:extLst>
            <a:ext uri="{FF2B5EF4-FFF2-40B4-BE49-F238E27FC236}">
              <a16:creationId xmlns:a16="http://schemas.microsoft.com/office/drawing/2014/main" id="{C40AF6A0-8CDD-D802-0A17-804D6DEDD15A}"/>
            </a:ext>
          </a:extLst>
        </xdr:cNvPr>
        <xdr:cNvSpPr/>
      </xdr:nvSpPr>
      <xdr:spPr>
        <a:xfrm>
          <a:off x="8193405" y="3983356"/>
          <a:ext cx="439410" cy="24193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291464</xdr:colOff>
      <xdr:row>24</xdr:row>
      <xdr:rowOff>15240</xdr:rowOff>
    </xdr:from>
    <xdr:to>
      <xdr:col>10</xdr:col>
      <xdr:colOff>727064</xdr:colOff>
      <xdr:row>25</xdr:row>
      <xdr:rowOff>76200</xdr:rowOff>
    </xdr:to>
    <xdr:sp macro="" textlink="">
      <xdr:nvSpPr>
        <xdr:cNvPr id="30" name="Rectángulo: esquinas redondeadas 29">
          <a:hlinkClick xmlns:r="http://schemas.openxmlformats.org/officeDocument/2006/relationships" r:id="rId21" tooltip="Vea información"/>
          <a:extLst>
            <a:ext uri="{FF2B5EF4-FFF2-40B4-BE49-F238E27FC236}">
              <a16:creationId xmlns:a16="http://schemas.microsoft.com/office/drawing/2014/main" id="{BEE8AA4C-170C-F48F-A35A-D14316B8B4E4}"/>
            </a:ext>
          </a:extLst>
        </xdr:cNvPr>
        <xdr:cNvSpPr/>
      </xdr:nvSpPr>
      <xdr:spPr>
        <a:xfrm>
          <a:off x="8197214" y="4396740"/>
          <a:ext cx="435600" cy="26098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287655</xdr:colOff>
      <xdr:row>25</xdr:row>
      <xdr:rowOff>192405</xdr:rowOff>
    </xdr:from>
    <xdr:to>
      <xdr:col>10</xdr:col>
      <xdr:colOff>723255</xdr:colOff>
      <xdr:row>27</xdr:row>
      <xdr:rowOff>59055</xdr:rowOff>
    </xdr:to>
    <xdr:sp macro="" textlink="">
      <xdr:nvSpPr>
        <xdr:cNvPr id="31" name="Rectángulo: esquinas redondeadas 30">
          <a:hlinkClick xmlns:r="http://schemas.openxmlformats.org/officeDocument/2006/relationships" r:id="rId22" tooltip="Vea información"/>
          <a:extLst>
            <a:ext uri="{FF2B5EF4-FFF2-40B4-BE49-F238E27FC236}">
              <a16:creationId xmlns:a16="http://schemas.microsoft.com/office/drawing/2014/main" id="{32AE97D7-6239-5E60-C551-4D92CD2DC247}"/>
            </a:ext>
          </a:extLst>
        </xdr:cNvPr>
        <xdr:cNvSpPr/>
      </xdr:nvSpPr>
      <xdr:spPr>
        <a:xfrm>
          <a:off x="8193405" y="4773930"/>
          <a:ext cx="435600" cy="26670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287655</xdr:colOff>
      <xdr:row>28</xdr:row>
      <xdr:rowOff>19050</xdr:rowOff>
    </xdr:from>
    <xdr:to>
      <xdr:col>10</xdr:col>
      <xdr:colOff>723255</xdr:colOff>
      <xdr:row>29</xdr:row>
      <xdr:rowOff>59055</xdr:rowOff>
    </xdr:to>
    <xdr:sp macro="" textlink="">
      <xdr:nvSpPr>
        <xdr:cNvPr id="32" name="Rectángulo: esquinas redondeadas 31">
          <a:hlinkClick xmlns:r="http://schemas.openxmlformats.org/officeDocument/2006/relationships" r:id="rId23" tooltip="Vea información"/>
          <a:extLst>
            <a:ext uri="{FF2B5EF4-FFF2-40B4-BE49-F238E27FC236}">
              <a16:creationId xmlns:a16="http://schemas.microsoft.com/office/drawing/2014/main" id="{80271EE1-8D02-D9D4-4B18-BCCBABFB5226}"/>
            </a:ext>
          </a:extLst>
        </xdr:cNvPr>
        <xdr:cNvSpPr/>
      </xdr:nvSpPr>
      <xdr:spPr>
        <a:xfrm>
          <a:off x="8193405" y="5200650"/>
          <a:ext cx="435600" cy="24003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3</xdr:col>
      <xdr:colOff>297181</xdr:colOff>
      <xdr:row>17</xdr:row>
      <xdr:rowOff>245746</xdr:rowOff>
    </xdr:from>
    <xdr:to>
      <xdr:col>3</xdr:col>
      <xdr:colOff>730876</xdr:colOff>
      <xdr:row>19</xdr:row>
      <xdr:rowOff>38101</xdr:rowOff>
    </xdr:to>
    <xdr:sp macro="" textlink="">
      <xdr:nvSpPr>
        <xdr:cNvPr id="33" name="Rectángulo: esquinas redondeadas 32">
          <a:hlinkClick xmlns:r="http://schemas.openxmlformats.org/officeDocument/2006/relationships" r:id="rId24" tooltip="Vea información"/>
          <a:extLst>
            <a:ext uri="{FF2B5EF4-FFF2-40B4-BE49-F238E27FC236}">
              <a16:creationId xmlns:a16="http://schemas.microsoft.com/office/drawing/2014/main" id="{F57ECC6A-CF82-DDDD-80CF-FB969E347E01}"/>
            </a:ext>
          </a:extLst>
        </xdr:cNvPr>
        <xdr:cNvSpPr/>
      </xdr:nvSpPr>
      <xdr:spPr>
        <a:xfrm>
          <a:off x="2668906" y="3160396"/>
          <a:ext cx="433695" cy="25908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  <xdr:twoCellAnchor>
    <xdr:from>
      <xdr:col>10</xdr:col>
      <xdr:colOff>291465</xdr:colOff>
      <xdr:row>17</xdr:row>
      <xdr:rowOff>253366</xdr:rowOff>
    </xdr:from>
    <xdr:to>
      <xdr:col>10</xdr:col>
      <xdr:colOff>727065</xdr:colOff>
      <xdr:row>19</xdr:row>
      <xdr:rowOff>62866</xdr:rowOff>
    </xdr:to>
    <xdr:sp macro="" textlink="">
      <xdr:nvSpPr>
        <xdr:cNvPr id="34" name="Rectángulo: esquinas redondeadas 33">
          <a:hlinkClick xmlns:r="http://schemas.openxmlformats.org/officeDocument/2006/relationships" r:id="rId25" tooltip="Vea información"/>
          <a:extLst>
            <a:ext uri="{FF2B5EF4-FFF2-40B4-BE49-F238E27FC236}">
              <a16:creationId xmlns:a16="http://schemas.microsoft.com/office/drawing/2014/main" id="{75ADF69D-4DD3-DB44-3C9D-EC1AE4B15FD8}"/>
            </a:ext>
          </a:extLst>
        </xdr:cNvPr>
        <xdr:cNvSpPr/>
      </xdr:nvSpPr>
      <xdr:spPr>
        <a:xfrm>
          <a:off x="8197215" y="3168016"/>
          <a:ext cx="435600" cy="276225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196453</xdr:colOff>
      <xdr:row>59</xdr:row>
      <xdr:rowOff>59291</xdr:rowOff>
    </xdr:from>
    <xdr:to>
      <xdr:col>13</xdr:col>
      <xdr:colOff>305752</xdr:colOff>
      <xdr:row>78</xdr:row>
      <xdr:rowOff>3808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F97CC9-F818-436D-8388-ED177ABC6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44</xdr:row>
      <xdr:rowOff>0</xdr:rowOff>
    </xdr:from>
    <xdr:to>
      <xdr:col>25</xdr:col>
      <xdr:colOff>446484</xdr:colOff>
      <xdr:row>52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69DD4C7-818C-4CAC-BE86-59532806F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746760</xdr:colOff>
      <xdr:row>0</xdr:row>
      <xdr:rowOff>38100</xdr:rowOff>
    </xdr:from>
    <xdr:to>
      <xdr:col>13</xdr:col>
      <xdr:colOff>640080</xdr:colOff>
      <xdr:row>2</xdr:row>
      <xdr:rowOff>38100</xdr:rowOff>
    </xdr:to>
    <xdr:sp macro="" textlink="">
      <xdr:nvSpPr>
        <xdr:cNvPr id="3" name="Rectángulo: esquinas redondeadas 2">
          <a:hlinkClick xmlns:r="http://schemas.openxmlformats.org/officeDocument/2006/relationships" r:id="rId3" tooltip="Ir a Estructura"/>
          <a:extLst>
            <a:ext uri="{FF2B5EF4-FFF2-40B4-BE49-F238E27FC236}">
              <a16:creationId xmlns:a16="http://schemas.microsoft.com/office/drawing/2014/main" id="{767464CF-D511-4F7E-8761-2F6D890456DE}"/>
            </a:ext>
          </a:extLst>
        </xdr:cNvPr>
        <xdr:cNvSpPr/>
      </xdr:nvSpPr>
      <xdr:spPr>
        <a:xfrm>
          <a:off x="10866120" y="3810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13</xdr:col>
      <xdr:colOff>579120</xdr:colOff>
      <xdr:row>56</xdr:row>
      <xdr:rowOff>0</xdr:rowOff>
    </xdr:from>
    <xdr:to>
      <xdr:col>14</xdr:col>
      <xdr:colOff>472440</xdr:colOff>
      <xdr:row>58</xdr:row>
      <xdr:rowOff>0</xdr:rowOff>
    </xdr:to>
    <xdr:sp macro="" textlink="">
      <xdr:nvSpPr>
        <xdr:cNvPr id="8" name="Rectángulo: esquinas redondeadas 7">
          <a:hlinkClick xmlns:r="http://schemas.openxmlformats.org/officeDocument/2006/relationships" r:id="rId3" tooltip="Ir a Estructura"/>
          <a:extLst>
            <a:ext uri="{FF2B5EF4-FFF2-40B4-BE49-F238E27FC236}">
              <a16:creationId xmlns:a16="http://schemas.microsoft.com/office/drawing/2014/main" id="{3CE04AF4-5106-4A25-955B-99BA2486576E}"/>
            </a:ext>
          </a:extLst>
        </xdr:cNvPr>
        <xdr:cNvSpPr/>
      </xdr:nvSpPr>
      <xdr:spPr>
        <a:xfrm>
          <a:off x="11529060" y="1014984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13</xdr:col>
      <xdr:colOff>0</xdr:colOff>
      <xdr:row>79</xdr:row>
      <xdr:rowOff>0</xdr:rowOff>
    </xdr:from>
    <xdr:to>
      <xdr:col>13</xdr:col>
      <xdr:colOff>723900</xdr:colOff>
      <xdr:row>81</xdr:row>
      <xdr:rowOff>0</xdr:rowOff>
    </xdr:to>
    <xdr:sp macro="" textlink="">
      <xdr:nvSpPr>
        <xdr:cNvPr id="10" name="Rectángulo: esquinas redondeadas 9">
          <a:hlinkClick xmlns:r="http://schemas.openxmlformats.org/officeDocument/2006/relationships" r:id="rId3" tooltip="Ir a Estructura"/>
          <a:extLst>
            <a:ext uri="{FF2B5EF4-FFF2-40B4-BE49-F238E27FC236}">
              <a16:creationId xmlns:a16="http://schemas.microsoft.com/office/drawing/2014/main" id="{89763D86-5B78-4671-B892-46C5E2DEB65A}"/>
            </a:ext>
          </a:extLst>
        </xdr:cNvPr>
        <xdr:cNvSpPr/>
      </xdr:nvSpPr>
      <xdr:spPr>
        <a:xfrm>
          <a:off x="10949940" y="1435608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118528</xdr:colOff>
      <xdr:row>43</xdr:row>
      <xdr:rowOff>0</xdr:rowOff>
    </xdr:from>
    <xdr:to>
      <xdr:col>13</xdr:col>
      <xdr:colOff>842428</xdr:colOff>
      <xdr:row>45</xdr:row>
      <xdr:rowOff>10160</xdr:rowOff>
    </xdr:to>
    <xdr:sp macro="" textlink="">
      <xdr:nvSpPr>
        <xdr:cNvPr id="4" name="Rectángulo: esquinas redondeadas 3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714261C9-707E-41C0-9A99-F0778B3889DD}"/>
            </a:ext>
          </a:extLst>
        </xdr:cNvPr>
        <xdr:cNvSpPr/>
      </xdr:nvSpPr>
      <xdr:spPr>
        <a:xfrm>
          <a:off x="12742328" y="764540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14</xdr:col>
      <xdr:colOff>76202</xdr:colOff>
      <xdr:row>0</xdr:row>
      <xdr:rowOff>101600</xdr:rowOff>
    </xdr:from>
    <xdr:to>
      <xdr:col>14</xdr:col>
      <xdr:colOff>800102</xdr:colOff>
      <xdr:row>2</xdr:row>
      <xdr:rowOff>111760</xdr:rowOff>
    </xdr:to>
    <xdr:sp macro="" textlink="">
      <xdr:nvSpPr>
        <xdr:cNvPr id="5" name="Rectángulo: esquinas redondeadas 4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B97C792E-554A-463C-9E2E-50DD8EAC199B}"/>
            </a:ext>
          </a:extLst>
        </xdr:cNvPr>
        <xdr:cNvSpPr/>
      </xdr:nvSpPr>
      <xdr:spPr>
        <a:xfrm>
          <a:off x="13580535" y="10160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190500</xdr:colOff>
      <xdr:row>0</xdr:row>
      <xdr:rowOff>66675</xdr:rowOff>
    </xdr:from>
    <xdr:to>
      <xdr:col>36</xdr:col>
      <xdr:colOff>914400</xdr:colOff>
      <xdr:row>2</xdr:row>
      <xdr:rowOff>70485</xdr:rowOff>
    </xdr:to>
    <xdr:sp macro="" textlink="">
      <xdr:nvSpPr>
        <xdr:cNvPr id="12" name="Rectángulo: esquinas redondeadas 11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8E515B25-AF25-493F-8D65-04CE755D85EB}"/>
            </a:ext>
          </a:extLst>
        </xdr:cNvPr>
        <xdr:cNvSpPr/>
      </xdr:nvSpPr>
      <xdr:spPr>
        <a:xfrm>
          <a:off x="16344900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48</xdr:col>
      <xdr:colOff>47625</xdr:colOff>
      <xdr:row>0</xdr:row>
      <xdr:rowOff>66675</xdr:rowOff>
    </xdr:from>
    <xdr:to>
      <xdr:col>48</xdr:col>
      <xdr:colOff>771525</xdr:colOff>
      <xdr:row>2</xdr:row>
      <xdr:rowOff>70485</xdr:rowOff>
    </xdr:to>
    <xdr:sp macro="" textlink="">
      <xdr:nvSpPr>
        <xdr:cNvPr id="13" name="Rectángulo: esquinas redondeadas 12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715D94EA-A286-483B-B119-FD283F3FFCEB}"/>
            </a:ext>
          </a:extLst>
        </xdr:cNvPr>
        <xdr:cNvSpPr/>
      </xdr:nvSpPr>
      <xdr:spPr>
        <a:xfrm>
          <a:off x="28270200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57</xdr:col>
      <xdr:colOff>19050</xdr:colOff>
      <xdr:row>0</xdr:row>
      <xdr:rowOff>66675</xdr:rowOff>
    </xdr:from>
    <xdr:to>
      <xdr:col>57</xdr:col>
      <xdr:colOff>742950</xdr:colOff>
      <xdr:row>2</xdr:row>
      <xdr:rowOff>70485</xdr:rowOff>
    </xdr:to>
    <xdr:sp macro="" textlink="">
      <xdr:nvSpPr>
        <xdr:cNvPr id="14" name="Rectángulo: esquinas redondeadas 13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8AAB9E47-B8BF-4B82-AFD1-36063C22E453}"/>
            </a:ext>
          </a:extLst>
        </xdr:cNvPr>
        <xdr:cNvSpPr/>
      </xdr:nvSpPr>
      <xdr:spPr>
        <a:xfrm>
          <a:off x="36290250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77</xdr:col>
      <xdr:colOff>66675</xdr:colOff>
      <xdr:row>0</xdr:row>
      <xdr:rowOff>66675</xdr:rowOff>
    </xdr:from>
    <xdr:to>
      <xdr:col>77</xdr:col>
      <xdr:colOff>790575</xdr:colOff>
      <xdr:row>2</xdr:row>
      <xdr:rowOff>70485</xdr:rowOff>
    </xdr:to>
    <xdr:sp macro="" textlink="">
      <xdr:nvSpPr>
        <xdr:cNvPr id="19" name="Rectángulo: esquinas redondeadas 18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5647C413-E452-458B-A950-23E5024573EE}"/>
            </a:ext>
          </a:extLst>
        </xdr:cNvPr>
        <xdr:cNvSpPr/>
      </xdr:nvSpPr>
      <xdr:spPr>
        <a:xfrm>
          <a:off x="53921025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97</xdr:col>
      <xdr:colOff>76200</xdr:colOff>
      <xdr:row>0</xdr:row>
      <xdr:rowOff>85725</xdr:rowOff>
    </xdr:from>
    <xdr:to>
      <xdr:col>97</xdr:col>
      <xdr:colOff>800100</xdr:colOff>
      <xdr:row>2</xdr:row>
      <xdr:rowOff>89535</xdr:rowOff>
    </xdr:to>
    <xdr:sp macro="" textlink="">
      <xdr:nvSpPr>
        <xdr:cNvPr id="20" name="Rectángulo: esquinas redondeadas 19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8915FE6F-8FDC-4A32-8395-4ECC4D08B057}"/>
            </a:ext>
          </a:extLst>
        </xdr:cNvPr>
        <xdr:cNvSpPr/>
      </xdr:nvSpPr>
      <xdr:spPr>
        <a:xfrm>
          <a:off x="71037450" y="8572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117</xdr:col>
      <xdr:colOff>66675</xdr:colOff>
      <xdr:row>0</xdr:row>
      <xdr:rowOff>66675</xdr:rowOff>
    </xdr:from>
    <xdr:to>
      <xdr:col>117</xdr:col>
      <xdr:colOff>790575</xdr:colOff>
      <xdr:row>2</xdr:row>
      <xdr:rowOff>70485</xdr:rowOff>
    </xdr:to>
    <xdr:sp macro="" textlink="">
      <xdr:nvSpPr>
        <xdr:cNvPr id="21" name="Rectángulo: esquinas redondeadas 20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4F8DA414-7AA8-43F3-82B9-69E068E4BA76}"/>
            </a:ext>
          </a:extLst>
        </xdr:cNvPr>
        <xdr:cNvSpPr/>
      </xdr:nvSpPr>
      <xdr:spPr>
        <a:xfrm>
          <a:off x="88134825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137</xdr:col>
      <xdr:colOff>66675</xdr:colOff>
      <xdr:row>0</xdr:row>
      <xdr:rowOff>66675</xdr:rowOff>
    </xdr:from>
    <xdr:to>
      <xdr:col>137</xdr:col>
      <xdr:colOff>790575</xdr:colOff>
      <xdr:row>2</xdr:row>
      <xdr:rowOff>70485</xdr:rowOff>
    </xdr:to>
    <xdr:sp macro="" textlink="">
      <xdr:nvSpPr>
        <xdr:cNvPr id="22" name="Rectángulo: esquinas redondeadas 21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EC1899B9-88DE-4E21-B186-E41E5C9906A9}"/>
            </a:ext>
          </a:extLst>
        </xdr:cNvPr>
        <xdr:cNvSpPr/>
      </xdr:nvSpPr>
      <xdr:spPr>
        <a:xfrm>
          <a:off x="105241725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157</xdr:col>
      <xdr:colOff>85725</xdr:colOff>
      <xdr:row>0</xdr:row>
      <xdr:rowOff>66675</xdr:rowOff>
    </xdr:from>
    <xdr:to>
      <xdr:col>157</xdr:col>
      <xdr:colOff>809625</xdr:colOff>
      <xdr:row>2</xdr:row>
      <xdr:rowOff>70485</xdr:rowOff>
    </xdr:to>
    <xdr:sp macro="" textlink="">
      <xdr:nvSpPr>
        <xdr:cNvPr id="23" name="Rectángulo: esquinas redondeadas 22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5DC7B220-FF02-4CAC-BEBA-8D0B2547D4F2}"/>
            </a:ext>
          </a:extLst>
        </xdr:cNvPr>
        <xdr:cNvSpPr/>
      </xdr:nvSpPr>
      <xdr:spPr>
        <a:xfrm>
          <a:off x="122367675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209</xdr:col>
      <xdr:colOff>0</xdr:colOff>
      <xdr:row>0</xdr:row>
      <xdr:rowOff>76200</xdr:rowOff>
    </xdr:from>
    <xdr:to>
      <xdr:col>209</xdr:col>
      <xdr:colOff>723900</xdr:colOff>
      <xdr:row>2</xdr:row>
      <xdr:rowOff>80010</xdr:rowOff>
    </xdr:to>
    <xdr:sp macro="" textlink="">
      <xdr:nvSpPr>
        <xdr:cNvPr id="26" name="Rectángulo: esquinas redondeadas 25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A8B03DDE-E01C-472E-B4F3-910CBE629EA3}"/>
            </a:ext>
          </a:extLst>
        </xdr:cNvPr>
        <xdr:cNvSpPr/>
      </xdr:nvSpPr>
      <xdr:spPr>
        <a:xfrm>
          <a:off x="171154725" y="7620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220</xdr:col>
      <xdr:colOff>47625</xdr:colOff>
      <xdr:row>0</xdr:row>
      <xdr:rowOff>66675</xdr:rowOff>
    </xdr:from>
    <xdr:to>
      <xdr:col>220</xdr:col>
      <xdr:colOff>771525</xdr:colOff>
      <xdr:row>2</xdr:row>
      <xdr:rowOff>70485</xdr:rowOff>
    </xdr:to>
    <xdr:sp macro="" textlink="">
      <xdr:nvSpPr>
        <xdr:cNvPr id="27" name="Rectángulo: esquinas redondeadas 26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19758A55-FF0D-48F5-AD5D-3D7F03D582EB}"/>
            </a:ext>
          </a:extLst>
        </xdr:cNvPr>
        <xdr:cNvSpPr/>
      </xdr:nvSpPr>
      <xdr:spPr>
        <a:xfrm>
          <a:off x="183299100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160</xdr:col>
      <xdr:colOff>0</xdr:colOff>
      <xdr:row>27</xdr:row>
      <xdr:rowOff>104775</xdr:rowOff>
    </xdr:from>
    <xdr:to>
      <xdr:col>160</xdr:col>
      <xdr:colOff>723900</xdr:colOff>
      <xdr:row>29</xdr:row>
      <xdr:rowOff>108585</xdr:rowOff>
    </xdr:to>
    <xdr:sp macro="" textlink="">
      <xdr:nvSpPr>
        <xdr:cNvPr id="28" name="Rectángulo: esquinas redondeadas 27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851E2E23-1DDE-4419-826E-B229C73A2BE0}"/>
            </a:ext>
          </a:extLst>
        </xdr:cNvPr>
        <xdr:cNvSpPr/>
      </xdr:nvSpPr>
      <xdr:spPr>
        <a:xfrm>
          <a:off x="124072650" y="499110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173</xdr:col>
      <xdr:colOff>161925</xdr:colOff>
      <xdr:row>0</xdr:row>
      <xdr:rowOff>66675</xdr:rowOff>
    </xdr:from>
    <xdr:to>
      <xdr:col>173</xdr:col>
      <xdr:colOff>885825</xdr:colOff>
      <xdr:row>2</xdr:row>
      <xdr:rowOff>70485</xdr:rowOff>
    </xdr:to>
    <xdr:sp macro="" textlink="">
      <xdr:nvSpPr>
        <xdr:cNvPr id="29" name="Rectángulo: esquinas redondeadas 28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A62FE5AA-EF74-4A63-B603-D706449F6390}"/>
            </a:ext>
          </a:extLst>
        </xdr:cNvPr>
        <xdr:cNvSpPr/>
      </xdr:nvSpPr>
      <xdr:spPr>
        <a:xfrm>
          <a:off x="138731625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191</xdr:col>
      <xdr:colOff>28575</xdr:colOff>
      <xdr:row>0</xdr:row>
      <xdr:rowOff>66675</xdr:rowOff>
    </xdr:from>
    <xdr:to>
      <xdr:col>192</xdr:col>
      <xdr:colOff>257175</xdr:colOff>
      <xdr:row>2</xdr:row>
      <xdr:rowOff>70485</xdr:rowOff>
    </xdr:to>
    <xdr:sp macro="" textlink="">
      <xdr:nvSpPr>
        <xdr:cNvPr id="30" name="Rectángulo: esquinas redondeadas 29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9B760947-1523-435E-9B47-0DA325DF78EC}"/>
            </a:ext>
          </a:extLst>
        </xdr:cNvPr>
        <xdr:cNvSpPr/>
      </xdr:nvSpPr>
      <xdr:spPr>
        <a:xfrm>
          <a:off x="156476700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191</xdr:col>
      <xdr:colOff>0</xdr:colOff>
      <xdr:row>31</xdr:row>
      <xdr:rowOff>0</xdr:rowOff>
    </xdr:from>
    <xdr:to>
      <xdr:col>192</xdr:col>
      <xdr:colOff>228600</xdr:colOff>
      <xdr:row>33</xdr:row>
      <xdr:rowOff>3810</xdr:rowOff>
    </xdr:to>
    <xdr:sp macro="" textlink="">
      <xdr:nvSpPr>
        <xdr:cNvPr id="31" name="Rectángulo: esquinas redondeadas 30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073C76B2-8DE8-42B0-BCD8-B3BD68B6C71F}"/>
            </a:ext>
          </a:extLst>
        </xdr:cNvPr>
        <xdr:cNvSpPr/>
      </xdr:nvSpPr>
      <xdr:spPr>
        <a:xfrm>
          <a:off x="156448125" y="561022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191</xdr:col>
      <xdr:colOff>0</xdr:colOff>
      <xdr:row>62</xdr:row>
      <xdr:rowOff>38100</xdr:rowOff>
    </xdr:from>
    <xdr:to>
      <xdr:col>192</xdr:col>
      <xdr:colOff>228600</xdr:colOff>
      <xdr:row>64</xdr:row>
      <xdr:rowOff>41910</xdr:rowOff>
    </xdr:to>
    <xdr:sp macro="" textlink="">
      <xdr:nvSpPr>
        <xdr:cNvPr id="32" name="Rectángulo: esquinas redondeadas 31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A0EEF5B0-77C7-48AB-BA14-E6130E4090BB}"/>
            </a:ext>
          </a:extLst>
        </xdr:cNvPr>
        <xdr:cNvSpPr/>
      </xdr:nvSpPr>
      <xdr:spPr>
        <a:xfrm>
          <a:off x="156448125" y="1125855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191</xdr:col>
      <xdr:colOff>0</xdr:colOff>
      <xdr:row>93</xdr:row>
      <xdr:rowOff>0</xdr:rowOff>
    </xdr:from>
    <xdr:to>
      <xdr:col>192</xdr:col>
      <xdr:colOff>228600</xdr:colOff>
      <xdr:row>95</xdr:row>
      <xdr:rowOff>3810</xdr:rowOff>
    </xdr:to>
    <xdr:sp macro="" textlink="">
      <xdr:nvSpPr>
        <xdr:cNvPr id="33" name="Rectángulo: esquinas redondeadas 32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1E68D656-062F-4D61-B05B-301F286E3923}"/>
            </a:ext>
          </a:extLst>
        </xdr:cNvPr>
        <xdr:cNvSpPr/>
      </xdr:nvSpPr>
      <xdr:spPr>
        <a:xfrm>
          <a:off x="156448125" y="16830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247</xdr:col>
      <xdr:colOff>19050</xdr:colOff>
      <xdr:row>0</xdr:row>
      <xdr:rowOff>85725</xdr:rowOff>
    </xdr:from>
    <xdr:to>
      <xdr:col>247</xdr:col>
      <xdr:colOff>742950</xdr:colOff>
      <xdr:row>2</xdr:row>
      <xdr:rowOff>89535</xdr:rowOff>
    </xdr:to>
    <xdr:sp macro="" textlink="">
      <xdr:nvSpPr>
        <xdr:cNvPr id="34" name="Rectángulo: esquinas redondeadas 33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115CAE75-DF67-4FB5-8C9E-482E6A7EB76B}"/>
            </a:ext>
          </a:extLst>
        </xdr:cNvPr>
        <xdr:cNvSpPr/>
      </xdr:nvSpPr>
      <xdr:spPr>
        <a:xfrm>
          <a:off x="201044175" y="8572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  <xdr:twoCellAnchor>
    <xdr:from>
      <xdr:col>1</xdr:col>
      <xdr:colOff>38100</xdr:colOff>
      <xdr:row>0</xdr:row>
      <xdr:rowOff>66675</xdr:rowOff>
    </xdr:from>
    <xdr:to>
      <xdr:col>1</xdr:col>
      <xdr:colOff>762000</xdr:colOff>
      <xdr:row>2</xdr:row>
      <xdr:rowOff>70485</xdr:rowOff>
    </xdr:to>
    <xdr:sp macro="" textlink="">
      <xdr:nvSpPr>
        <xdr:cNvPr id="35" name="Rectángulo: esquinas redondeadas 34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BD42F7AA-D4EB-4988-B2E5-3D5EE29CF900}"/>
            </a:ext>
          </a:extLst>
        </xdr:cNvPr>
        <xdr:cNvSpPr/>
      </xdr:nvSpPr>
      <xdr:spPr>
        <a:xfrm>
          <a:off x="209550" y="66675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76200</xdr:rowOff>
    </xdr:from>
    <xdr:to>
      <xdr:col>9</xdr:col>
      <xdr:colOff>15240</xdr:colOff>
      <xdr:row>1</xdr:row>
      <xdr:rowOff>60960</xdr:rowOff>
    </xdr:to>
    <xdr:sp macro="" textlink="">
      <xdr:nvSpPr>
        <xdr:cNvPr id="2" name="Rectángulo: esquinas redondeadas 1">
          <a:hlinkClick xmlns:r="http://schemas.openxmlformats.org/officeDocument/2006/relationships" r:id="rId1" tooltip="Ir a Estructura"/>
          <a:extLst>
            <a:ext uri="{FF2B5EF4-FFF2-40B4-BE49-F238E27FC236}">
              <a16:creationId xmlns:a16="http://schemas.microsoft.com/office/drawing/2014/main" id="{E1D8E6B8-D908-46E8-99F1-A4D673D13FB0}"/>
            </a:ext>
          </a:extLst>
        </xdr:cNvPr>
        <xdr:cNvSpPr/>
      </xdr:nvSpPr>
      <xdr:spPr>
        <a:xfrm>
          <a:off x="6682740" y="76200"/>
          <a:ext cx="723900" cy="365760"/>
        </a:xfrm>
        <a:prstGeom prst="roundRect">
          <a:avLst>
            <a:gd name="adj" fmla="val 42481"/>
          </a:avLst>
        </a:prstGeom>
        <a:solidFill>
          <a:srgbClr val="002060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54000" bIns="36000" rtlCol="0" anchor="t"/>
        <a:lstStyle/>
        <a:p>
          <a:pPr algn="ctr"/>
          <a:r>
            <a:rPr lang="es-NI" sz="1100" b="1">
              <a:solidFill>
                <a:schemeClr val="bg1"/>
              </a:solidFill>
            </a:rPr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ter/Downloads/calendario-2020-domingo-a-sab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GIL%20-%20Caf&#233;%20Las%20Flores\CLF%20-%20CP\H-MEDICION%20DEL%20TRABAJ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rencia%20de%20Investigaci&#243;n\Documentos%20aun%20no%20archivados\Herramientas%20Administrativas%20de%20Contabilidad\SEC%20Memor&#237;a%20para%20C&#225;lcul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f&#233;%20Las%20Flores%202017-2023/CBH%20-%20Emprendedurismo/Modelo%20Financiero%20CBH%20CSur%20-%20Prob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adora%20de%20pr&#233;stamos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encia%20Comercial/Desktop/REVISAR%202%20Aosto%2016%20Jose%20Eliott%20Lopez/Tarifas%20actu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 AYUDA -"/>
      <sheetName val="Calendario 2020 Dom a Sab"/>
      <sheetName val="Feriados y fechas importantes"/>
    </sheetNames>
    <sheetDataSet>
      <sheetData sheetId="0"/>
      <sheetData sheetId="1"/>
      <sheetData sheetId="2">
        <row r="8">
          <cell r="B8">
            <v>43831</v>
          </cell>
          <cell r="E8">
            <v>43833</v>
          </cell>
        </row>
        <row r="9">
          <cell r="B9">
            <v>43837</v>
          </cell>
          <cell r="E9">
            <v>43895</v>
          </cell>
        </row>
        <row r="10">
          <cell r="B10">
            <v>43930</v>
          </cell>
          <cell r="E10">
            <v>43995</v>
          </cell>
        </row>
        <row r="11">
          <cell r="B11">
            <v>43931</v>
          </cell>
          <cell r="E11">
            <v>43963</v>
          </cell>
        </row>
        <row r="12">
          <cell r="B12">
            <v>43952</v>
          </cell>
          <cell r="E12">
            <v>0</v>
          </cell>
        </row>
        <row r="13">
          <cell r="B13">
            <v>44095</v>
          </cell>
          <cell r="E13">
            <v>0</v>
          </cell>
        </row>
        <row r="14">
          <cell r="B14">
            <v>44116</v>
          </cell>
          <cell r="E14">
            <v>0</v>
          </cell>
        </row>
        <row r="15">
          <cell r="B15">
            <v>0</v>
          </cell>
          <cell r="E15">
            <v>0</v>
          </cell>
        </row>
        <row r="16">
          <cell r="B16">
            <v>0</v>
          </cell>
          <cell r="E16">
            <v>0</v>
          </cell>
        </row>
        <row r="17">
          <cell r="B17">
            <v>0</v>
          </cell>
          <cell r="E17">
            <v>0</v>
          </cell>
        </row>
        <row r="18">
          <cell r="B18">
            <v>0</v>
          </cell>
          <cell r="E18">
            <v>0</v>
          </cell>
        </row>
        <row r="19">
          <cell r="B19">
            <v>0</v>
          </cell>
          <cell r="E19">
            <v>0</v>
          </cell>
        </row>
        <row r="20">
          <cell r="B20">
            <v>0</v>
          </cell>
          <cell r="E20">
            <v>0</v>
          </cell>
        </row>
        <row r="21">
          <cell r="B21">
            <v>0</v>
          </cell>
          <cell r="E21">
            <v>0</v>
          </cell>
        </row>
        <row r="22">
          <cell r="B22">
            <v>0</v>
          </cell>
          <cell r="E22">
            <v>0</v>
          </cell>
        </row>
        <row r="23">
          <cell r="B23">
            <v>0</v>
          </cell>
          <cell r="E23">
            <v>0</v>
          </cell>
        </row>
        <row r="24">
          <cell r="B24">
            <v>0</v>
          </cell>
          <cell r="E24">
            <v>0</v>
          </cell>
        </row>
        <row r="25">
          <cell r="B25">
            <v>0</v>
          </cell>
          <cell r="E25">
            <v>0</v>
          </cell>
        </row>
        <row r="26">
          <cell r="B26">
            <v>0</v>
          </cell>
          <cell r="E26">
            <v>0</v>
          </cell>
        </row>
        <row r="27">
          <cell r="B27">
            <v>0</v>
          </cell>
          <cell r="E27">
            <v>0</v>
          </cell>
        </row>
        <row r="28">
          <cell r="B28">
            <v>0</v>
          </cell>
          <cell r="E28">
            <v>0</v>
          </cell>
        </row>
        <row r="29">
          <cell r="B29">
            <v>0</v>
          </cell>
          <cell r="E29">
            <v>0</v>
          </cell>
        </row>
        <row r="30">
          <cell r="B30">
            <v>0</v>
          </cell>
          <cell r="E30">
            <v>0</v>
          </cell>
        </row>
        <row r="31">
          <cell r="B31">
            <v>0</v>
          </cell>
          <cell r="E31">
            <v>0</v>
          </cell>
        </row>
        <row r="32">
          <cell r="B32">
            <v>0</v>
          </cell>
          <cell r="E32">
            <v>0</v>
          </cell>
        </row>
        <row r="33">
          <cell r="B33">
            <v>0</v>
          </cell>
          <cell r="E33">
            <v>0</v>
          </cell>
        </row>
        <row r="34">
          <cell r="B34">
            <v>0</v>
          </cell>
          <cell r="E34">
            <v>0</v>
          </cell>
        </row>
        <row r="35">
          <cell r="B35">
            <v>0</v>
          </cell>
          <cell r="E35">
            <v>0</v>
          </cell>
        </row>
        <row r="36">
          <cell r="B36">
            <v>0</v>
          </cell>
          <cell r="E36">
            <v>0</v>
          </cell>
        </row>
        <row r="37">
          <cell r="B37">
            <v>0</v>
          </cell>
          <cell r="E37">
            <v>0</v>
          </cell>
        </row>
        <row r="38">
          <cell r="B38">
            <v>0</v>
          </cell>
          <cell r="E38">
            <v>0</v>
          </cell>
        </row>
        <row r="39">
          <cell r="B39">
            <v>0</v>
          </cell>
          <cell r="E39">
            <v>0</v>
          </cell>
        </row>
        <row r="40">
          <cell r="B40">
            <v>0</v>
          </cell>
          <cell r="E40">
            <v>0</v>
          </cell>
        </row>
        <row r="41">
          <cell r="B41">
            <v>0</v>
          </cell>
          <cell r="E41">
            <v>0</v>
          </cell>
        </row>
        <row r="42">
          <cell r="B42">
            <v>0</v>
          </cell>
          <cell r="E42">
            <v>0</v>
          </cell>
        </row>
        <row r="43">
          <cell r="B43">
            <v>0</v>
          </cell>
          <cell r="E43">
            <v>0</v>
          </cell>
        </row>
        <row r="44">
          <cell r="B44">
            <v>0</v>
          </cell>
          <cell r="E44">
            <v>0</v>
          </cell>
        </row>
        <row r="45">
          <cell r="B45">
            <v>0</v>
          </cell>
          <cell r="E45">
            <v>0</v>
          </cell>
        </row>
        <row r="46">
          <cell r="B46">
            <v>0</v>
          </cell>
          <cell r="E46">
            <v>0</v>
          </cell>
        </row>
        <row r="47">
          <cell r="B47">
            <v>0</v>
          </cell>
          <cell r="E47">
            <v>0</v>
          </cell>
        </row>
        <row r="48">
          <cell r="B48">
            <v>0</v>
          </cell>
          <cell r="E48">
            <v>0</v>
          </cell>
        </row>
        <row r="49">
          <cell r="B49">
            <v>0</v>
          </cell>
          <cell r="E49">
            <v>0</v>
          </cell>
        </row>
        <row r="50">
          <cell r="B50">
            <v>0</v>
          </cell>
          <cell r="E5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EMPO STANDARD"/>
      <sheetName val="Suplementos"/>
      <sheetName val="Cursograma analitico"/>
      <sheetName val="Conclusiones"/>
      <sheetName val="Secuencia de Operaciones"/>
      <sheetName val="Análisis Tiempos"/>
      <sheetName val="Tiempos de actividades"/>
      <sheetName val="Hoja1"/>
      <sheetName val="Distibucion"/>
      <sheetName val="Resumen Tiempos"/>
    </sheetNames>
    <sheetDataSet>
      <sheetData sheetId="0"/>
      <sheetData sheetId="1"/>
      <sheetData sheetId="2">
        <row r="5">
          <cell r="B5" t="str">
            <v>Habilísimo</v>
          </cell>
          <cell r="C5">
            <v>0.15</v>
          </cell>
          <cell r="D5" t="str">
            <v>Muy excesivo</v>
          </cell>
          <cell r="E5">
            <v>0.13</v>
          </cell>
          <cell r="H5" t="str">
            <v>Ideal</v>
          </cell>
          <cell r="I5">
            <v>0.06</v>
          </cell>
          <cell r="J5" t="str">
            <v>Perfecto</v>
          </cell>
          <cell r="K5">
            <v>0.04</v>
          </cell>
          <cell r="N5" t="str">
            <v>SNP</v>
          </cell>
          <cell r="O5" t="str">
            <v>Necesidades personales</v>
          </cell>
          <cell r="P5">
            <v>5</v>
          </cell>
          <cell r="Q5">
            <v>7</v>
          </cell>
        </row>
        <row r="6">
          <cell r="B6" t="str">
            <v>Hábil</v>
          </cell>
          <cell r="C6">
            <v>0.13</v>
          </cell>
          <cell r="D6" t="str">
            <v>Excesivo</v>
          </cell>
          <cell r="E6">
            <v>0.12</v>
          </cell>
          <cell r="H6" t="str">
            <v>Excelente</v>
          </cell>
          <cell r="I6">
            <v>0.04</v>
          </cell>
          <cell r="J6" t="str">
            <v>Excelente</v>
          </cell>
          <cell r="K6">
            <v>0.03</v>
          </cell>
          <cell r="N6" t="str">
            <v>SPF</v>
          </cell>
          <cell r="O6" t="str">
            <v>Por fatiga</v>
          </cell>
          <cell r="P6">
            <v>4</v>
          </cell>
          <cell r="Q6">
            <v>4</v>
          </cell>
        </row>
        <row r="7">
          <cell r="B7" t="str">
            <v>Muy excelente</v>
          </cell>
          <cell r="C7">
            <v>0.11</v>
          </cell>
          <cell r="D7" t="str">
            <v>Muy excelente</v>
          </cell>
          <cell r="E7">
            <v>0.1</v>
          </cell>
          <cell r="H7" t="str">
            <v>Buena</v>
          </cell>
          <cell r="I7">
            <v>0.02</v>
          </cell>
          <cell r="J7" t="str">
            <v>Buena</v>
          </cell>
          <cell r="K7">
            <v>0.01</v>
          </cell>
          <cell r="N7" t="str">
            <v>STP</v>
          </cell>
          <cell r="O7" t="str">
            <v>Trabajo de pie</v>
          </cell>
          <cell r="P7">
            <v>2</v>
          </cell>
          <cell r="Q7">
            <v>4</v>
          </cell>
        </row>
        <row r="8">
          <cell r="B8" t="str">
            <v>Excelente</v>
          </cell>
          <cell r="C8">
            <v>0.08</v>
          </cell>
          <cell r="D8" t="str">
            <v>Excelente</v>
          </cell>
          <cell r="E8">
            <v>0.08</v>
          </cell>
          <cell r="H8" t="str">
            <v>Promedio</v>
          </cell>
          <cell r="I8">
            <v>0</v>
          </cell>
          <cell r="J8" t="str">
            <v>Promedio</v>
          </cell>
          <cell r="K8">
            <v>0</v>
          </cell>
          <cell r="N8" t="str">
            <v>POCO-INCOMODA</v>
          </cell>
          <cell r="O8" t="str">
            <v>Postura incómoda</v>
          </cell>
          <cell r="P8">
            <v>0</v>
          </cell>
          <cell r="Q8">
            <v>1</v>
          </cell>
        </row>
        <row r="9">
          <cell r="B9" t="str">
            <v>Muy bueno</v>
          </cell>
          <cell r="C9">
            <v>0.06</v>
          </cell>
          <cell r="D9" t="str">
            <v>Muy bueno</v>
          </cell>
          <cell r="E9">
            <v>0.05</v>
          </cell>
          <cell r="H9" t="str">
            <v>Regulares</v>
          </cell>
          <cell r="I9">
            <v>-0.03</v>
          </cell>
          <cell r="J9" t="str">
            <v>Regulares</v>
          </cell>
          <cell r="K9">
            <v>-0.02</v>
          </cell>
          <cell r="N9" t="str">
            <v>INCOMODA</v>
          </cell>
          <cell r="O9" t="str">
            <v>Postura incómoda inclinada</v>
          </cell>
          <cell r="P9">
            <v>2</v>
          </cell>
          <cell r="Q9">
            <v>3</v>
          </cell>
        </row>
        <row r="10">
          <cell r="B10" t="str">
            <v>Bueno</v>
          </cell>
          <cell r="C10">
            <v>0.03</v>
          </cell>
          <cell r="D10" t="str">
            <v>Bueno</v>
          </cell>
          <cell r="E10">
            <v>0.02</v>
          </cell>
          <cell r="H10" t="str">
            <v>Malas</v>
          </cell>
          <cell r="I10">
            <v>-7.0000000000000007E-2</v>
          </cell>
          <cell r="J10" t="str">
            <v>Malas</v>
          </cell>
          <cell r="K10">
            <v>-0.04</v>
          </cell>
          <cell r="N10" t="str">
            <v>MUY-INCOMODA</v>
          </cell>
          <cell r="O10" t="str">
            <v>Postura muy incómoda</v>
          </cell>
          <cell r="P10">
            <v>7</v>
          </cell>
          <cell r="Q10">
            <v>7</v>
          </cell>
        </row>
        <row r="11">
          <cell r="B11" t="str">
            <v>Promedio</v>
          </cell>
          <cell r="C11">
            <v>0</v>
          </cell>
          <cell r="D11" t="str">
            <v>Promedio</v>
          </cell>
          <cell r="E11">
            <v>0</v>
          </cell>
          <cell r="N11" t="str">
            <v>P-2.5</v>
          </cell>
          <cell r="O11" t="str">
            <v>Levantar peso 2.5</v>
          </cell>
          <cell r="P11">
            <v>0</v>
          </cell>
          <cell r="Q11">
            <v>1</v>
          </cell>
        </row>
        <row r="12">
          <cell r="B12" t="str">
            <v>Regular</v>
          </cell>
          <cell r="C12">
            <v>-0.05</v>
          </cell>
          <cell r="D12" t="str">
            <v>Regular</v>
          </cell>
          <cell r="E12">
            <v>-0.04</v>
          </cell>
          <cell r="N12" t="str">
            <v>P-5</v>
          </cell>
          <cell r="O12" t="str">
            <v>Levantar peso 5</v>
          </cell>
          <cell r="P12">
            <v>1</v>
          </cell>
          <cell r="Q12">
            <v>2</v>
          </cell>
        </row>
        <row r="13">
          <cell r="B13" t="str">
            <v>Malo</v>
          </cell>
          <cell r="C13">
            <v>-0.1</v>
          </cell>
          <cell r="D13" t="str">
            <v>Malo</v>
          </cell>
          <cell r="E13">
            <v>-0.08</v>
          </cell>
          <cell r="N13" t="str">
            <v>P-7.5</v>
          </cell>
          <cell r="O13" t="str">
            <v>Levantar peso 7.5</v>
          </cell>
          <cell r="P13">
            <v>2</v>
          </cell>
          <cell r="Q13">
            <v>3</v>
          </cell>
        </row>
        <row r="14">
          <cell r="B14" t="str">
            <v>Deficiente</v>
          </cell>
          <cell r="C14">
            <v>-0.15</v>
          </cell>
          <cell r="D14" t="str">
            <v>Deficiente</v>
          </cell>
          <cell r="E14">
            <v>-0.12</v>
          </cell>
          <cell r="N14" t="str">
            <v>P-10</v>
          </cell>
          <cell r="O14" t="str">
            <v>Levantar peso 10</v>
          </cell>
          <cell r="P14">
            <v>3</v>
          </cell>
          <cell r="Q14">
            <v>4</v>
          </cell>
        </row>
        <row r="15">
          <cell r="B15" t="str">
            <v>Muy deficiente</v>
          </cell>
          <cell r="C15">
            <v>-0.22</v>
          </cell>
          <cell r="D15" t="str">
            <v>Muy deficiente</v>
          </cell>
          <cell r="E15">
            <v>-0.17</v>
          </cell>
          <cell r="N15" t="str">
            <v>P-12.5</v>
          </cell>
          <cell r="O15" t="str">
            <v>Levantar peso 12.5</v>
          </cell>
          <cell r="P15">
            <v>4</v>
          </cell>
          <cell r="Q15">
            <v>6</v>
          </cell>
        </row>
        <row r="16">
          <cell r="N16" t="str">
            <v>P-15</v>
          </cell>
          <cell r="O16" t="str">
            <v>Levantar peso 15</v>
          </cell>
          <cell r="P16">
            <v>5</v>
          </cell>
          <cell r="Q16">
            <v>8</v>
          </cell>
        </row>
        <row r="17">
          <cell r="N17" t="str">
            <v>P-17.5</v>
          </cell>
          <cell r="O17" t="str">
            <v>Levantar peso 17.5</v>
          </cell>
          <cell r="P17">
            <v>7</v>
          </cell>
          <cell r="Q17">
            <v>10</v>
          </cell>
        </row>
        <row r="18">
          <cell r="N18" t="str">
            <v>P-20</v>
          </cell>
          <cell r="O18" t="str">
            <v>Levantar peso 20</v>
          </cell>
          <cell r="P18">
            <v>9</v>
          </cell>
          <cell r="Q18">
            <v>13</v>
          </cell>
        </row>
        <row r="19">
          <cell r="N19" t="str">
            <v>P-22.5</v>
          </cell>
          <cell r="O19" t="str">
            <v>Levantar peso 22.5</v>
          </cell>
          <cell r="P19">
            <v>11</v>
          </cell>
          <cell r="Q19">
            <v>16</v>
          </cell>
        </row>
        <row r="20">
          <cell r="N20" t="str">
            <v>P-25</v>
          </cell>
          <cell r="O20" t="str">
            <v>Levantar peso 25</v>
          </cell>
          <cell r="P20">
            <v>13</v>
          </cell>
          <cell r="Q20">
            <v>20</v>
          </cell>
        </row>
        <row r="21">
          <cell r="N21" t="str">
            <v>P-30</v>
          </cell>
          <cell r="O21" t="str">
            <v>Levantar peso 30</v>
          </cell>
          <cell r="P21">
            <v>17</v>
          </cell>
          <cell r="Q21">
            <v>26</v>
          </cell>
        </row>
        <row r="22">
          <cell r="N22" t="str">
            <v>P-33.5</v>
          </cell>
          <cell r="O22" t="str">
            <v>Levantar peso 33.5</v>
          </cell>
          <cell r="P22">
            <v>22</v>
          </cell>
          <cell r="Q22">
            <v>29</v>
          </cell>
        </row>
        <row r="23">
          <cell r="N23" t="str">
            <v>BUENA-ILUMINACION</v>
          </cell>
          <cell r="O23" t="str">
            <v>Iluminación buena</v>
          </cell>
          <cell r="P23">
            <v>0</v>
          </cell>
          <cell r="Q23">
            <v>0</v>
          </cell>
        </row>
        <row r="24">
          <cell r="N24" t="str">
            <v>ILUMINACION-MEDIA</v>
          </cell>
          <cell r="O24" t="str">
            <v>Iluminación media</v>
          </cell>
          <cell r="P24">
            <v>2</v>
          </cell>
          <cell r="Q24">
            <v>2</v>
          </cell>
        </row>
        <row r="25">
          <cell r="N25" t="str">
            <v>ILUMINACION-DEFICIENTE</v>
          </cell>
          <cell r="O25" t="str">
            <v>Iluminación deficiente</v>
          </cell>
          <cell r="P25">
            <v>5</v>
          </cell>
          <cell r="Q25">
            <v>5</v>
          </cell>
        </row>
        <row r="26">
          <cell r="N26" t="str">
            <v>CALOR-HUMEDAD 16</v>
          </cell>
          <cell r="O26" t="str">
            <v>Calor y humedad 16</v>
          </cell>
          <cell r="P26">
            <v>0</v>
          </cell>
          <cell r="Q26">
            <v>0</v>
          </cell>
        </row>
        <row r="27">
          <cell r="N27" t="str">
            <v>CALOR-HUMEDAD 14</v>
          </cell>
          <cell r="O27" t="str">
            <v>Calor y humedad 14</v>
          </cell>
          <cell r="P27">
            <v>0</v>
          </cell>
          <cell r="Q27">
            <v>0</v>
          </cell>
        </row>
        <row r="28">
          <cell r="N28" t="str">
            <v>CALOR-HUMEDAD 12</v>
          </cell>
          <cell r="O28" t="str">
            <v>Calor y humedad 12</v>
          </cell>
          <cell r="P28">
            <v>0</v>
          </cell>
          <cell r="Q28">
            <v>0</v>
          </cell>
        </row>
        <row r="29">
          <cell r="N29" t="str">
            <v>CALOR-HUMEDAD 10</v>
          </cell>
          <cell r="O29" t="str">
            <v>Calor y humedad 10</v>
          </cell>
          <cell r="P29">
            <v>3</v>
          </cell>
          <cell r="Q29">
            <v>3</v>
          </cell>
        </row>
        <row r="30">
          <cell r="N30" t="str">
            <v>CALOR-HUMEDAD 8</v>
          </cell>
          <cell r="O30" t="str">
            <v>Calor y humedad 8</v>
          </cell>
          <cell r="P30">
            <v>10</v>
          </cell>
          <cell r="Q30">
            <v>10</v>
          </cell>
        </row>
        <row r="31">
          <cell r="N31" t="str">
            <v>CALOR-HUMEDAD 6</v>
          </cell>
          <cell r="O31" t="str">
            <v>Calor y humedad 6</v>
          </cell>
          <cell r="P31">
            <v>21</v>
          </cell>
          <cell r="Q31">
            <v>21</v>
          </cell>
        </row>
        <row r="32">
          <cell r="N32" t="str">
            <v>CALOR-HUMEDAD 5</v>
          </cell>
          <cell r="O32" t="str">
            <v>Calor y humedad 5</v>
          </cell>
          <cell r="P32">
            <v>31</v>
          </cell>
          <cell r="Q32">
            <v>31</v>
          </cell>
        </row>
        <row r="33">
          <cell r="N33" t="str">
            <v>CALOR-HUMEDAD 4</v>
          </cell>
          <cell r="O33" t="str">
            <v>Calor y humedad 4</v>
          </cell>
          <cell r="P33">
            <v>45</v>
          </cell>
          <cell r="Q33">
            <v>45</v>
          </cell>
        </row>
        <row r="34">
          <cell r="N34" t="str">
            <v>CALOR-HUMEDAD 3</v>
          </cell>
          <cell r="O34" t="str">
            <v>Calor y humedad 3</v>
          </cell>
          <cell r="P34">
            <v>64</v>
          </cell>
          <cell r="Q34">
            <v>64</v>
          </cell>
        </row>
        <row r="35">
          <cell r="N35" t="str">
            <v>CALOR-HUMEDAD 2</v>
          </cell>
          <cell r="O35" t="str">
            <v>Calor y humedad 2</v>
          </cell>
          <cell r="P35">
            <v>100</v>
          </cell>
          <cell r="Q35">
            <v>100</v>
          </cell>
        </row>
        <row r="36">
          <cell r="N36" t="str">
            <v>POCA-PRECISION</v>
          </cell>
          <cell r="O36" t="str">
            <v>Concentración precisión poca</v>
          </cell>
          <cell r="P36">
            <v>0</v>
          </cell>
          <cell r="Q36">
            <v>0</v>
          </cell>
        </row>
        <row r="37">
          <cell r="N37" t="str">
            <v>PRECISION-MEDIA</v>
          </cell>
          <cell r="O37" t="str">
            <v>Concentración precisión media</v>
          </cell>
          <cell r="P37">
            <v>2</v>
          </cell>
          <cell r="Q37">
            <v>2</v>
          </cell>
        </row>
        <row r="38">
          <cell r="N38" t="str">
            <v>MUCHA-PRECISION</v>
          </cell>
          <cell r="O38" t="str">
            <v>Concentración precisión alta</v>
          </cell>
          <cell r="P38">
            <v>5</v>
          </cell>
          <cell r="Q38">
            <v>5</v>
          </cell>
        </row>
        <row r="39">
          <cell r="N39" t="str">
            <v>CONTINUO</v>
          </cell>
          <cell r="O39" t="str">
            <v>Ruido continuo</v>
          </cell>
          <cell r="P39">
            <v>0</v>
          </cell>
          <cell r="Q39">
            <v>0</v>
          </cell>
        </row>
        <row r="40">
          <cell r="N40" t="str">
            <v>INTERMITENTE -FUERTE</v>
          </cell>
          <cell r="O40" t="str">
            <v>Ruido intermitente y fuerte</v>
          </cell>
          <cell r="P40">
            <v>2</v>
          </cell>
          <cell r="Q40">
            <v>2</v>
          </cell>
        </row>
        <row r="41">
          <cell r="N41" t="str">
            <v>INTERMITENTE-MUY FUERTE</v>
          </cell>
          <cell r="O41" t="str">
            <v>Ruido intermitente y  muy fuerte</v>
          </cell>
          <cell r="P41">
            <v>5</v>
          </cell>
          <cell r="Q41">
            <v>5</v>
          </cell>
        </row>
        <row r="42">
          <cell r="N42" t="str">
            <v>ESTRIDENTE-FUERTE</v>
          </cell>
          <cell r="O42" t="str">
            <v>Ruido estridente y fuerte</v>
          </cell>
          <cell r="P42">
            <v>7</v>
          </cell>
          <cell r="Q42">
            <v>7</v>
          </cell>
        </row>
        <row r="43">
          <cell r="N43" t="str">
            <v>PROCESO-COMPLEJO</v>
          </cell>
          <cell r="O43" t="str">
            <v>Tensión mental proceso complejo</v>
          </cell>
          <cell r="P43">
            <v>1</v>
          </cell>
          <cell r="Q43">
            <v>1</v>
          </cell>
        </row>
        <row r="44">
          <cell r="N44" t="str">
            <v>COMPLEJIDAD-MEDIA</v>
          </cell>
          <cell r="O44" t="str">
            <v>Tensión mental proceso medio complejo</v>
          </cell>
          <cell r="P44">
            <v>4</v>
          </cell>
          <cell r="Q44">
            <v>4</v>
          </cell>
        </row>
        <row r="45">
          <cell r="N45" t="str">
            <v>PROCESO-MUY COMPLEJO</v>
          </cell>
          <cell r="O45" t="str">
            <v>Tensión mental proceso muy complejo</v>
          </cell>
          <cell r="P45">
            <v>8</v>
          </cell>
          <cell r="Q45">
            <v>8</v>
          </cell>
        </row>
        <row r="46">
          <cell r="N46" t="str">
            <v>MONOTONIA-BAJA</v>
          </cell>
          <cell r="O46" t="str">
            <v>Monotonía baja</v>
          </cell>
          <cell r="P46">
            <v>0</v>
          </cell>
          <cell r="Q46">
            <v>0</v>
          </cell>
        </row>
        <row r="47">
          <cell r="N47" t="str">
            <v>MONOTONIA-MEDIA</v>
          </cell>
          <cell r="O47" t="str">
            <v>Monotonía media</v>
          </cell>
          <cell r="P47">
            <v>1</v>
          </cell>
          <cell r="Q47">
            <v>1</v>
          </cell>
        </row>
        <row r="48">
          <cell r="N48" t="str">
            <v>MONOTONIA-ALTA</v>
          </cell>
          <cell r="O48" t="str">
            <v>Monotonía alta</v>
          </cell>
          <cell r="P48">
            <v>4</v>
          </cell>
          <cell r="Q48">
            <v>4</v>
          </cell>
        </row>
        <row r="49">
          <cell r="N49" t="str">
            <v>POCO-ABURRIDO</v>
          </cell>
          <cell r="O49" t="str">
            <v>Trabajo poco aburrido</v>
          </cell>
          <cell r="P49">
            <v>0</v>
          </cell>
          <cell r="Q49">
            <v>0</v>
          </cell>
        </row>
        <row r="50">
          <cell r="N50" t="str">
            <v>MEDIO-ABURRIDO</v>
          </cell>
          <cell r="O50" t="str">
            <v>Trabajo medio aburrido</v>
          </cell>
          <cell r="P50">
            <v>2</v>
          </cell>
          <cell r="Q50">
            <v>2</v>
          </cell>
        </row>
        <row r="51">
          <cell r="N51" t="str">
            <v>MUY-ABURRIDO</v>
          </cell>
          <cell r="O51" t="str">
            <v>Trabajo muy aburrido</v>
          </cell>
          <cell r="P51">
            <v>5</v>
          </cell>
          <cell r="Q51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R 2020"/>
      <sheetName val="BC2020"/>
      <sheetName val="BC"/>
      <sheetName val="EdRCC"/>
      <sheetName val="EdRC$"/>
      <sheetName val="ESFC$"/>
      <sheetName val="EFEC$"/>
      <sheetName val="ANEXC$"/>
      <sheetName val="Mod"/>
      <sheetName val="EdR$"/>
      <sheetName val="ESF$"/>
      <sheetName val="EFE$"/>
      <sheetName val="ANEX$"/>
      <sheetName val="CxC"/>
      <sheetName val="CxP"/>
      <sheetName val="EdR´s2021"/>
      <sheetName val="EdR´sCC-21"/>
      <sheetName val="EdR´sCC-21 Base"/>
      <sheetName val="PRO´S CON´S "/>
      <sheetName val="Ayuda Memoria CDV Proyecto"/>
      <sheetName val="Notas"/>
      <sheetName val="Inversionista 5 años"/>
      <sheetName val="Inversionista"/>
      <sheetName val="Modelo Financiero"/>
      <sheetName val="Modelo Financiero Resumen"/>
      <sheetName val="P&amp;L Punto de Equilibrio"/>
      <sheetName val="Flujo Operativo"/>
      <sheetName val="Cálculos Ventas"/>
      <sheetName val="Supuestos Egresos"/>
      <sheetName val="Programación del préstamo"/>
      <sheetName val="Inversión"/>
      <sheetName val="Inversión y Canalización"/>
      <sheetName val="Equipos"/>
      <sheetName val="Estuctura"/>
      <sheetName val="Ventas"/>
      <sheetName val="Estimación Ventas act"/>
      <sheetName val=" Menú &amp; precio "/>
      <sheetName val="Feed"/>
      <sheetName val="RESUMEN"/>
      <sheetName val="Resumen2"/>
      <sheetName val="HOM Ref. Gastos de Venta"/>
      <sheetName val="GSD Ref. Gastos de Venta"/>
      <sheetName val="Guest-Trx-TickProm"/>
      <sheetName val="Resumen Transacciones"/>
      <sheetName val="EdR´s2020"/>
      <sheetName val="DetP&amp;R"/>
      <sheetName val="DetP&amp;R USD"/>
      <sheetName val="Ppto.2021"/>
      <sheetName val="Relacionadas"/>
      <sheetName val="Ptmos BAC"/>
      <sheetName val="Patrimonio"/>
      <sheetName val="Modelo Financiero CBH CSur - 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4">
          <cell r="P104">
            <v>0.01</v>
          </cell>
        </row>
      </sheetData>
      <sheetData sheetId="24"/>
      <sheetData sheetId="25"/>
      <sheetData sheetId="26"/>
      <sheetData sheetId="27"/>
      <sheetData sheetId="28">
        <row r="35">
          <cell r="B35">
            <v>0.04</v>
          </cell>
        </row>
      </sheetData>
      <sheetData sheetId="29">
        <row r="1">
          <cell r="B1" t="str">
            <v>PROGRAMACIÓN DE LA AMORTIZACIÓN DEL PRÉSTAMO</v>
          </cell>
        </row>
        <row r="3">
          <cell r="E3">
            <v>91069.439745350595</v>
          </cell>
          <cell r="I3">
            <v>1846.5598679016605</v>
          </cell>
        </row>
        <row r="4">
          <cell r="E4">
            <v>0.08</v>
          </cell>
          <cell r="I4">
            <v>60</v>
          </cell>
        </row>
        <row r="5">
          <cell r="E5">
            <v>5</v>
          </cell>
        </row>
        <row r="6">
          <cell r="E6">
            <v>12</v>
          </cell>
        </row>
        <row r="7">
          <cell r="E7">
            <v>44936</v>
          </cell>
        </row>
        <row r="9">
          <cell r="E9">
            <v>0</v>
          </cell>
        </row>
        <row r="11">
          <cell r="B11" t="str">
            <v>Nº. DE PAGO</v>
          </cell>
          <cell r="C11" t="str">
            <v>FECHA DE PAGO</v>
          </cell>
          <cell r="D11" t="str">
            <v>SALDO INICIAL</v>
          </cell>
          <cell r="E11" t="str">
            <v>PAGO PROGRAMADO</v>
          </cell>
          <cell r="F11" t="str">
            <v>PAGO EXTRA</v>
          </cell>
          <cell r="G11" t="str">
            <v>IMPORTE TOTAL DEL PAGO</v>
          </cell>
          <cell r="H11" t="str">
            <v>PRINCIPAL</v>
          </cell>
          <cell r="I11" t="str">
            <v>INTERÉS</v>
          </cell>
          <cell r="J11" t="str">
            <v>SALDO FINAL</v>
          </cell>
          <cell r="K11" t="str">
            <v>INTERÉS ACUMULADO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18">
          <cell r="B18">
            <v>7</v>
          </cell>
        </row>
        <row r="19">
          <cell r="B19">
            <v>8</v>
          </cell>
        </row>
        <row r="20">
          <cell r="B20">
            <v>9</v>
          </cell>
        </row>
        <row r="21">
          <cell r="B21">
            <v>10</v>
          </cell>
        </row>
        <row r="22">
          <cell r="B22">
            <v>11</v>
          </cell>
        </row>
        <row r="23">
          <cell r="B23">
            <v>12</v>
          </cell>
        </row>
        <row r="24">
          <cell r="B24">
            <v>13</v>
          </cell>
        </row>
        <row r="25">
          <cell r="B25">
            <v>14</v>
          </cell>
        </row>
        <row r="26">
          <cell r="B26">
            <v>15</v>
          </cell>
        </row>
        <row r="27">
          <cell r="B27">
            <v>16</v>
          </cell>
        </row>
        <row r="28">
          <cell r="B28">
            <v>17</v>
          </cell>
        </row>
        <row r="29">
          <cell r="B29">
            <v>18</v>
          </cell>
        </row>
        <row r="30">
          <cell r="B30">
            <v>19</v>
          </cell>
        </row>
        <row r="31">
          <cell r="B31">
            <v>20</v>
          </cell>
        </row>
        <row r="32">
          <cell r="B32">
            <v>21</v>
          </cell>
        </row>
        <row r="33">
          <cell r="B33">
            <v>22</v>
          </cell>
        </row>
        <row r="34">
          <cell r="B34">
            <v>23</v>
          </cell>
        </row>
        <row r="35">
          <cell r="B35">
            <v>24</v>
          </cell>
        </row>
        <row r="36">
          <cell r="B36">
            <v>25</v>
          </cell>
        </row>
        <row r="37">
          <cell r="B37">
            <v>26</v>
          </cell>
        </row>
        <row r="38">
          <cell r="B38">
            <v>27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43">
          <cell r="B43">
            <v>32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  <row r="56">
          <cell r="B56">
            <v>45</v>
          </cell>
        </row>
        <row r="57">
          <cell r="B57">
            <v>46</v>
          </cell>
        </row>
        <row r="58">
          <cell r="B58">
            <v>47</v>
          </cell>
        </row>
        <row r="59">
          <cell r="B59">
            <v>48</v>
          </cell>
        </row>
        <row r="60">
          <cell r="B60">
            <v>49</v>
          </cell>
        </row>
        <row r="61">
          <cell r="B61">
            <v>50</v>
          </cell>
        </row>
        <row r="62">
          <cell r="B62">
            <v>51</v>
          </cell>
        </row>
        <row r="63">
          <cell r="B63">
            <v>52</v>
          </cell>
        </row>
        <row r="64">
          <cell r="B64">
            <v>53</v>
          </cell>
        </row>
        <row r="65">
          <cell r="B65">
            <v>54</v>
          </cell>
        </row>
        <row r="66">
          <cell r="B66">
            <v>55</v>
          </cell>
        </row>
        <row r="67">
          <cell r="B67">
            <v>56</v>
          </cell>
        </row>
        <row r="68">
          <cell r="B68">
            <v>57</v>
          </cell>
        </row>
        <row r="69">
          <cell r="B69">
            <v>58</v>
          </cell>
        </row>
        <row r="70">
          <cell r="B70">
            <v>59</v>
          </cell>
        </row>
        <row r="71">
          <cell r="B71">
            <v>60</v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</sheetData>
      <sheetData sheetId="30"/>
      <sheetData sheetId="31"/>
      <sheetData sheetId="32"/>
      <sheetData sheetId="33"/>
      <sheetData sheetId="34">
        <row r="18">
          <cell r="O18">
            <v>2.5000000000000001E-2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dora de préstamos"/>
    </sheetNames>
    <sheetDataSet>
      <sheetData sheetId="0">
        <row r="1">
          <cell r="B1" t="str">
            <v>CALCULADORA DE PRÉSTAMOS SIMPLE</v>
          </cell>
        </row>
        <row r="2">
          <cell r="B2" t="str">
            <v>VALORES DEL PRÉSTAMO</v>
          </cell>
        </row>
        <row r="3">
          <cell r="B3" t="str">
            <v>Importe del préstamo</v>
          </cell>
        </row>
        <row r="4">
          <cell r="B4" t="str">
            <v>Tasa de interés anual</v>
          </cell>
          <cell r="H4">
            <v>120</v>
          </cell>
        </row>
        <row r="5">
          <cell r="B5" t="str">
            <v>Periodo del préstamo en años</v>
          </cell>
        </row>
        <row r="6">
          <cell r="B6" t="str">
            <v>Fecha de inicio del préstamo</v>
          </cell>
        </row>
        <row r="8">
          <cell r="B8" t="str">
            <v>N.º DE PAGO</v>
          </cell>
          <cell r="C8" t="str">
            <v>FECHA DE PAGO</v>
          </cell>
          <cell r="D8" t="str">
            <v>SALDO INICIAL</v>
          </cell>
          <cell r="E8" t="str">
            <v>PAGO</v>
          </cell>
          <cell r="F8" t="str">
            <v>PRINCIPAL</v>
          </cell>
          <cell r="G8" t="str">
            <v>INTERÉS</v>
          </cell>
          <cell r="H8" t="str">
            <v>SALDO FINAL</v>
          </cell>
        </row>
        <row r="9">
          <cell r="B9">
            <v>1</v>
          </cell>
        </row>
        <row r="10">
          <cell r="B10">
            <v>2</v>
          </cell>
        </row>
        <row r="11">
          <cell r="B11">
            <v>3</v>
          </cell>
        </row>
        <row r="12">
          <cell r="B12">
            <v>4</v>
          </cell>
        </row>
        <row r="13">
          <cell r="B13">
            <v>5</v>
          </cell>
        </row>
        <row r="14">
          <cell r="B14">
            <v>6</v>
          </cell>
        </row>
        <row r="15">
          <cell r="B15">
            <v>7</v>
          </cell>
        </row>
        <row r="16">
          <cell r="B16">
            <v>8</v>
          </cell>
        </row>
        <row r="17">
          <cell r="B17">
            <v>9</v>
          </cell>
        </row>
        <row r="18">
          <cell r="B18">
            <v>10</v>
          </cell>
        </row>
        <row r="19">
          <cell r="B19">
            <v>11</v>
          </cell>
        </row>
        <row r="20">
          <cell r="B20">
            <v>12</v>
          </cell>
        </row>
        <row r="21">
          <cell r="B21">
            <v>13</v>
          </cell>
        </row>
        <row r="22">
          <cell r="B22">
            <v>14</v>
          </cell>
        </row>
        <row r="23">
          <cell r="B23">
            <v>15</v>
          </cell>
        </row>
        <row r="24">
          <cell r="B24">
            <v>16</v>
          </cell>
        </row>
        <row r="25">
          <cell r="B25">
            <v>17</v>
          </cell>
        </row>
        <row r="26">
          <cell r="B26">
            <v>18</v>
          </cell>
        </row>
        <row r="27">
          <cell r="B27">
            <v>19</v>
          </cell>
        </row>
        <row r="28">
          <cell r="B28">
            <v>20</v>
          </cell>
        </row>
        <row r="29">
          <cell r="B29">
            <v>21</v>
          </cell>
        </row>
        <row r="30">
          <cell r="B30">
            <v>22</v>
          </cell>
        </row>
        <row r="31">
          <cell r="B31">
            <v>23</v>
          </cell>
        </row>
        <row r="32">
          <cell r="B32">
            <v>24</v>
          </cell>
        </row>
        <row r="33">
          <cell r="B33">
            <v>25</v>
          </cell>
        </row>
        <row r="34">
          <cell r="B34">
            <v>26</v>
          </cell>
        </row>
        <row r="35">
          <cell r="B35">
            <v>27</v>
          </cell>
        </row>
        <row r="36">
          <cell r="B36">
            <v>28</v>
          </cell>
        </row>
        <row r="37">
          <cell r="B37">
            <v>29</v>
          </cell>
        </row>
        <row r="38">
          <cell r="B38">
            <v>30</v>
          </cell>
        </row>
        <row r="39">
          <cell r="B39">
            <v>31</v>
          </cell>
        </row>
        <row r="40">
          <cell r="B40">
            <v>32</v>
          </cell>
        </row>
        <row r="41">
          <cell r="B41">
            <v>33</v>
          </cell>
        </row>
        <row r="42">
          <cell r="B42">
            <v>34</v>
          </cell>
        </row>
        <row r="43">
          <cell r="B43">
            <v>35</v>
          </cell>
        </row>
        <row r="44">
          <cell r="B44">
            <v>36</v>
          </cell>
        </row>
        <row r="45">
          <cell r="B45">
            <v>37</v>
          </cell>
        </row>
        <row r="46">
          <cell r="B46">
            <v>38</v>
          </cell>
        </row>
        <row r="47">
          <cell r="B47">
            <v>39</v>
          </cell>
        </row>
        <row r="48">
          <cell r="B48">
            <v>40</v>
          </cell>
        </row>
        <row r="49">
          <cell r="B49">
            <v>41</v>
          </cell>
        </row>
        <row r="50">
          <cell r="B50">
            <v>42</v>
          </cell>
        </row>
        <row r="51">
          <cell r="B51">
            <v>43</v>
          </cell>
        </row>
        <row r="52">
          <cell r="B52">
            <v>44</v>
          </cell>
        </row>
        <row r="53">
          <cell r="B53">
            <v>45</v>
          </cell>
        </row>
        <row r="54">
          <cell r="B54">
            <v>46</v>
          </cell>
        </row>
        <row r="55">
          <cell r="B55">
            <v>47</v>
          </cell>
        </row>
        <row r="56">
          <cell r="B56">
            <v>48</v>
          </cell>
        </row>
        <row r="57">
          <cell r="B57">
            <v>49</v>
          </cell>
        </row>
        <row r="58">
          <cell r="B58">
            <v>50</v>
          </cell>
        </row>
        <row r="59">
          <cell r="B59">
            <v>51</v>
          </cell>
        </row>
        <row r="60">
          <cell r="B60">
            <v>52</v>
          </cell>
        </row>
        <row r="61">
          <cell r="B61">
            <v>53</v>
          </cell>
        </row>
        <row r="62">
          <cell r="B62">
            <v>54</v>
          </cell>
        </row>
        <row r="63">
          <cell r="B63">
            <v>55</v>
          </cell>
        </row>
        <row r="64">
          <cell r="B64">
            <v>56</v>
          </cell>
        </row>
        <row r="65">
          <cell r="B65">
            <v>57</v>
          </cell>
        </row>
        <row r="66">
          <cell r="B66">
            <v>58</v>
          </cell>
        </row>
        <row r="67">
          <cell r="B67">
            <v>59</v>
          </cell>
        </row>
        <row r="68">
          <cell r="B68">
            <v>60</v>
          </cell>
        </row>
        <row r="69">
          <cell r="B69">
            <v>61</v>
          </cell>
        </row>
        <row r="70">
          <cell r="B70">
            <v>62</v>
          </cell>
        </row>
        <row r="71">
          <cell r="B71">
            <v>63</v>
          </cell>
        </row>
        <row r="72">
          <cell r="B72">
            <v>64</v>
          </cell>
        </row>
        <row r="73">
          <cell r="B73">
            <v>65</v>
          </cell>
        </row>
        <row r="74">
          <cell r="B74">
            <v>66</v>
          </cell>
        </row>
        <row r="75">
          <cell r="B75">
            <v>67</v>
          </cell>
        </row>
        <row r="76">
          <cell r="B76">
            <v>68</v>
          </cell>
        </row>
        <row r="77">
          <cell r="B77">
            <v>69</v>
          </cell>
        </row>
        <row r="78">
          <cell r="B78">
            <v>70</v>
          </cell>
        </row>
        <row r="79">
          <cell r="B79">
            <v>71</v>
          </cell>
        </row>
        <row r="80">
          <cell r="B80">
            <v>72</v>
          </cell>
        </row>
        <row r="81">
          <cell r="B81">
            <v>73</v>
          </cell>
        </row>
        <row r="82">
          <cell r="B82">
            <v>74</v>
          </cell>
        </row>
        <row r="83">
          <cell r="B83">
            <v>75</v>
          </cell>
        </row>
        <row r="84">
          <cell r="B84">
            <v>76</v>
          </cell>
        </row>
        <row r="85">
          <cell r="B85">
            <v>77</v>
          </cell>
        </row>
        <row r="86">
          <cell r="B86">
            <v>78</v>
          </cell>
        </row>
        <row r="87">
          <cell r="B87">
            <v>79</v>
          </cell>
        </row>
        <row r="88">
          <cell r="B88">
            <v>80</v>
          </cell>
        </row>
        <row r="89">
          <cell r="B89">
            <v>81</v>
          </cell>
        </row>
        <row r="90">
          <cell r="B90">
            <v>82</v>
          </cell>
        </row>
        <row r="91">
          <cell r="B91">
            <v>83</v>
          </cell>
        </row>
        <row r="92">
          <cell r="B92">
            <v>84</v>
          </cell>
        </row>
        <row r="93">
          <cell r="B93">
            <v>85</v>
          </cell>
        </row>
        <row r="94">
          <cell r="B94">
            <v>86</v>
          </cell>
        </row>
        <row r="95">
          <cell r="B95">
            <v>87</v>
          </cell>
        </row>
        <row r="96">
          <cell r="B96">
            <v>88</v>
          </cell>
        </row>
        <row r="97">
          <cell r="B97">
            <v>89</v>
          </cell>
        </row>
        <row r="98">
          <cell r="B98">
            <v>90</v>
          </cell>
        </row>
        <row r="99">
          <cell r="B99">
            <v>91</v>
          </cell>
        </row>
        <row r="100">
          <cell r="B100">
            <v>92</v>
          </cell>
        </row>
        <row r="101">
          <cell r="B101">
            <v>93</v>
          </cell>
        </row>
        <row r="102">
          <cell r="B102">
            <v>94</v>
          </cell>
        </row>
        <row r="103">
          <cell r="B103">
            <v>95</v>
          </cell>
        </row>
        <row r="104">
          <cell r="B104">
            <v>96</v>
          </cell>
        </row>
        <row r="105">
          <cell r="B105">
            <v>97</v>
          </cell>
        </row>
        <row r="106">
          <cell r="B106">
            <v>98</v>
          </cell>
        </row>
        <row r="107">
          <cell r="B107">
            <v>99</v>
          </cell>
        </row>
        <row r="108">
          <cell r="B108">
            <v>100</v>
          </cell>
        </row>
        <row r="109">
          <cell r="B109">
            <v>101</v>
          </cell>
        </row>
        <row r="110">
          <cell r="B110">
            <v>102</v>
          </cell>
        </row>
        <row r="111">
          <cell r="B111">
            <v>103</v>
          </cell>
        </row>
        <row r="112">
          <cell r="B112">
            <v>104</v>
          </cell>
        </row>
        <row r="113">
          <cell r="B113">
            <v>105</v>
          </cell>
        </row>
        <row r="114">
          <cell r="B114">
            <v>106</v>
          </cell>
        </row>
        <row r="115">
          <cell r="B115">
            <v>107</v>
          </cell>
        </row>
        <row r="116">
          <cell r="B116">
            <v>108</v>
          </cell>
        </row>
        <row r="117">
          <cell r="B117">
            <v>109</v>
          </cell>
        </row>
        <row r="118">
          <cell r="B118">
            <v>110</v>
          </cell>
        </row>
        <row r="119">
          <cell r="B119">
            <v>111</v>
          </cell>
        </row>
        <row r="120">
          <cell r="B120">
            <v>112</v>
          </cell>
        </row>
        <row r="121">
          <cell r="B121">
            <v>113</v>
          </cell>
        </row>
        <row r="122">
          <cell r="B122">
            <v>114</v>
          </cell>
        </row>
        <row r="123">
          <cell r="B123">
            <v>115</v>
          </cell>
        </row>
        <row r="124">
          <cell r="B124">
            <v>116</v>
          </cell>
        </row>
        <row r="125">
          <cell r="B125">
            <v>117</v>
          </cell>
        </row>
        <row r="126">
          <cell r="B126">
            <v>118</v>
          </cell>
        </row>
        <row r="127">
          <cell r="B127">
            <v>119</v>
          </cell>
        </row>
        <row r="128">
          <cell r="B128">
            <v>120</v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"/>
      <sheetName val="EMPRESARIAL"/>
      <sheetName val="CLIENTE EVENTUAL"/>
      <sheetName val="FERRET-02-RICHARDSON (Aumento )"/>
      <sheetName val="FERRET-04-PERNERI (aumento 3.5 "/>
      <sheetName val="FERR-03-AGINSA"/>
      <sheetName val="SUERO"/>
      <sheetName val="TARF-44.5"/>
      <sheetName val="TARIFA 55"/>
      <sheetName val="MENSARIA"/>
      <sheetName val="tarifa 50.6"/>
      <sheetName val="56.7"/>
      <sheetName val="59-79"/>
      <sheetName val="59-79 ESPECIAL y corsario"/>
      <sheetName val="55-75"/>
      <sheetName val="52.5"/>
      <sheetName val="55-77"/>
      <sheetName val="55-77 especial"/>
      <sheetName val="48-72"/>
      <sheetName val="Hoja4"/>
      <sheetName val="AGENCIAS"/>
      <sheetName val="Hoja1"/>
      <sheetName val="Hoja2"/>
      <sheetName val="CLAVO"/>
      <sheetName val="Nuevo Diario"/>
      <sheetName val="COPA CURRIE"/>
      <sheetName val="tarifa TNT"/>
      <sheetName val="Cotizador"/>
      <sheetName val="LISTA DE CLIENTES"/>
      <sheetName val="FERRET-02-RICHARDSON"/>
      <sheetName val="FERR-01-GRAL"/>
      <sheetName val="FERRET-04-PERNERI"/>
    </sheetNames>
    <sheetDataSet>
      <sheetData sheetId="0">
        <row r="2">
          <cell r="G2" t="str">
            <v>PRIMARIA</v>
          </cell>
          <cell r="H2">
            <v>3</v>
          </cell>
          <cell r="K2">
            <v>0</v>
          </cell>
        </row>
        <row r="3">
          <cell r="G3" t="str">
            <v>PRIMARIA</v>
          </cell>
          <cell r="H3">
            <v>5</v>
          </cell>
          <cell r="K3">
            <v>0</v>
          </cell>
        </row>
        <row r="4">
          <cell r="G4" t="str">
            <v>PRIMARIA</v>
          </cell>
          <cell r="H4">
            <v>10</v>
          </cell>
          <cell r="K4">
            <v>0</v>
          </cell>
        </row>
        <row r="5">
          <cell r="G5" t="str">
            <v>PRIMARIA</v>
          </cell>
          <cell r="H5">
            <v>15</v>
          </cell>
          <cell r="K5">
            <v>0</v>
          </cell>
        </row>
        <row r="6">
          <cell r="G6" t="str">
            <v>PRIMARIA</v>
          </cell>
          <cell r="H6">
            <v>20</v>
          </cell>
          <cell r="K6">
            <v>0</v>
          </cell>
        </row>
        <row r="7">
          <cell r="G7" t="str">
            <v>PRIMARIA</v>
          </cell>
          <cell r="H7">
            <v>25</v>
          </cell>
          <cell r="K7">
            <v>0</v>
          </cell>
        </row>
        <row r="8">
          <cell r="G8" t="str">
            <v>PRIMARIA</v>
          </cell>
          <cell r="H8">
            <v>30</v>
          </cell>
          <cell r="K8">
            <v>19</v>
          </cell>
        </row>
        <row r="9">
          <cell r="G9" t="str">
            <v>SECUNDARIA</v>
          </cell>
          <cell r="H9">
            <v>3</v>
          </cell>
          <cell r="K9">
            <v>0</v>
          </cell>
        </row>
        <row r="10">
          <cell r="G10" t="str">
            <v>SECUNDARIA</v>
          </cell>
          <cell r="H10">
            <v>5</v>
          </cell>
          <cell r="K10">
            <v>0</v>
          </cell>
        </row>
        <row r="11">
          <cell r="G11" t="str">
            <v>SECUNDARIA</v>
          </cell>
          <cell r="H11">
            <v>10</v>
          </cell>
          <cell r="K11">
            <v>0</v>
          </cell>
        </row>
        <row r="12">
          <cell r="G12" t="str">
            <v>SECUNDARIA</v>
          </cell>
          <cell r="H12">
            <v>15</v>
          </cell>
          <cell r="K12">
            <v>0</v>
          </cell>
        </row>
        <row r="13">
          <cell r="G13" t="str">
            <v>SECUNDARIA</v>
          </cell>
          <cell r="H13">
            <v>20</v>
          </cell>
          <cell r="K13">
            <v>0</v>
          </cell>
        </row>
        <row r="14">
          <cell r="G14" t="str">
            <v>SECUNDARIA</v>
          </cell>
          <cell r="H14">
            <v>25</v>
          </cell>
          <cell r="K14">
            <v>24</v>
          </cell>
        </row>
        <row r="15">
          <cell r="G15" t="str">
            <v>TERCIARIA</v>
          </cell>
          <cell r="H15">
            <v>3</v>
          </cell>
          <cell r="K15">
            <v>0</v>
          </cell>
        </row>
        <row r="16">
          <cell r="G16" t="str">
            <v>TERCIARIA</v>
          </cell>
          <cell r="H16">
            <v>5</v>
          </cell>
          <cell r="K16">
            <v>0</v>
          </cell>
        </row>
        <row r="17">
          <cell r="G17" t="str">
            <v>TERCIARIA</v>
          </cell>
          <cell r="H17">
            <v>10</v>
          </cell>
          <cell r="K17">
            <v>0</v>
          </cell>
        </row>
        <row r="18">
          <cell r="G18" t="str">
            <v>TERCIARIA</v>
          </cell>
          <cell r="H18">
            <v>15</v>
          </cell>
          <cell r="K18">
            <v>0</v>
          </cell>
        </row>
        <row r="19">
          <cell r="G19" t="str">
            <v>TERCIARIA</v>
          </cell>
          <cell r="H19">
            <v>20</v>
          </cell>
          <cell r="K19">
            <v>0</v>
          </cell>
        </row>
        <row r="20">
          <cell r="G20" t="str">
            <v>TERCIARIA</v>
          </cell>
          <cell r="H20">
            <v>25</v>
          </cell>
          <cell r="K20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49DDB5-B085-4468-9220-312CA6239037}" name="Tabla2" displayName="Tabla2" ref="BK6:BZ51" totalsRowCount="1" headerRowDxfId="352" dataDxfId="351" totalsRowDxfId="350" headerRowCellStyle="Normal 2 2" dataCellStyle="Normal 2 2">
  <autoFilter ref="BK6:BZ50" xr:uid="{3049DDB5-B085-4468-9220-312CA6239037}"/>
  <tableColumns count="16">
    <tableColumn id="1" xr3:uid="{E8121F5D-DF25-434D-AE44-39B8010257D9}" name="Columna1" dataDxfId="349" totalsRowDxfId="348" dataCellStyle="Normal 2 2" totalsRowCellStyle="Normal 2 2">
      <calculatedColumnFormula>AQ5</calculatedColumnFormula>
    </tableColumn>
    <tableColumn id="2" xr3:uid="{E22C3338-5AE7-49A1-B7FE-E4B703EB7EAA}" name="Columna2" totalsRowFunction="sum" dataDxfId="347" totalsRowDxfId="346" dataCellStyle="Normal 2 2" totalsRowCellStyle="Normal 2 2">
      <calculatedColumnFormula>AM5</calculatedColumnFormula>
    </tableColumn>
    <tableColumn id="3" xr3:uid="{19D3391D-080B-457E-A933-BA1F5C2BEDA8}" name="Columna3" totalsRowFunction="sum" dataDxfId="345" totalsRowDxfId="344" dataCellStyle="Normal 2 2" totalsRowCellStyle="Normal 2 2">
      <calculatedColumnFormula>AN5</calculatedColumnFormula>
    </tableColumn>
    <tableColumn id="4" xr3:uid="{4FAD21DA-2778-4764-ACB1-549F2E79D6CB}" name="Columna4" totalsRowFunction="sum" dataDxfId="343" totalsRowDxfId="342" dataCellStyle="Normal 2 2" totalsRowCellStyle="Normal 2 2">
      <calculatedColumnFormula>AO5</calculatedColumnFormula>
    </tableColumn>
    <tableColumn id="5" xr3:uid="{CF93A60A-4AF2-4699-A96D-36714F236584}" name="Columna5" totalsRowFunction="sum" dataDxfId="341" totalsRowDxfId="340" dataCellStyle="Normal 2 2" totalsRowCellStyle="Normal 2 2">
      <calculatedColumnFormula>$BN7*$AD$8</calculatedColumnFormula>
    </tableColumn>
    <tableColumn id="6" xr3:uid="{5A8B8B73-C73D-4911-AEBF-74C073C0D523}" name="Columna6" totalsRowFunction="sum" dataDxfId="339" totalsRowDxfId="338" dataCellStyle="Normal 2 2" totalsRowCellStyle="Normal 2 2">
      <calculatedColumnFormula>$BN7*$AD$9</calculatedColumnFormula>
    </tableColumn>
    <tableColumn id="7" xr3:uid="{76D0E6E6-DCF8-4DDD-BFFE-19E5CDD7562A}" name="Columna7" totalsRowFunction="sum" dataDxfId="337" totalsRowDxfId="336" dataCellStyle="Normal 2 2" totalsRowCellStyle="Normal 2 2">
      <calculatedColumnFormula>$BN7*$AD$10</calculatedColumnFormula>
    </tableColumn>
    <tableColumn id="8" xr3:uid="{66D73143-612E-44AE-8EF6-F4B97BD3D93D}" name="Columna8" totalsRowFunction="sum" dataDxfId="335" totalsRowDxfId="334" dataCellStyle="Normal 2 2" totalsRowCellStyle="Normal 2 2">
      <calculatedColumnFormula>$BN7*$AD$11</calculatedColumnFormula>
    </tableColumn>
    <tableColumn id="9" xr3:uid="{58B2D547-D320-48F5-9AC5-7D9754555873}" name="Columna9" totalsRowFunction="sum" dataDxfId="333" totalsRowDxfId="332" dataCellStyle="Normal 2 2" totalsRowCellStyle="Normal 2 2">
      <calculatedColumnFormula>$BN7*$AD$12</calculatedColumnFormula>
    </tableColumn>
    <tableColumn id="10" xr3:uid="{625434D0-3135-497C-8560-6C76585AD8A9}" name="Columna10" totalsRowFunction="sum" dataDxfId="331" totalsRowDxfId="330" dataCellStyle="Normal 2 2" totalsRowCellStyle="Normal 2 2">
      <calculatedColumnFormula>$BN7*$AD$13</calculatedColumnFormula>
    </tableColumn>
    <tableColumn id="11" xr3:uid="{58A5B2DE-5CDF-42F7-A1DB-7F11ACF2E247}" name="Columna11" totalsRowFunction="sum" dataDxfId="329" totalsRowDxfId="328" dataCellStyle="Normal 2 2" totalsRowCellStyle="Normal 2 2">
      <calculatedColumnFormula>$BN7*$AD$14</calculatedColumnFormula>
    </tableColumn>
    <tableColumn id="12" xr3:uid="{121FBBC3-4DF2-466E-A197-D149514AEAD1}" name="Columna12" totalsRowFunction="sum" dataDxfId="327" totalsRowDxfId="326" dataCellStyle="Normal 2 2" totalsRowCellStyle="Normal 2 2">
      <calculatedColumnFormula>$BN7*$AD$15</calculatedColumnFormula>
    </tableColumn>
    <tableColumn id="13" xr3:uid="{A1225CCC-2218-4A2C-81DA-91D00625BC17}" name="Columna13" totalsRowFunction="sum" dataDxfId="325" totalsRowDxfId="324" dataCellStyle="Normal 2 2" totalsRowCellStyle="Normal 2 2">
      <calculatedColumnFormula>$BN7*$AD$16</calculatedColumnFormula>
    </tableColumn>
    <tableColumn id="14" xr3:uid="{62B749DD-E9E5-461A-ABBB-7F104CEF79B1}" name="Columna14" totalsRowFunction="sum" dataDxfId="323" totalsRowDxfId="322" dataCellStyle="Normal 2 2" totalsRowCellStyle="Normal 2 2">
      <calculatedColumnFormula>$BN7*$AD$17</calculatedColumnFormula>
    </tableColumn>
    <tableColumn id="15" xr3:uid="{D9524FD7-9C46-4322-A27C-0AD2A803B273}" name="Columna15" totalsRowFunction="sum" dataDxfId="321" totalsRowDxfId="320" dataCellStyle="Normal 2 2" totalsRowCellStyle="Normal 2 2">
      <calculatedColumnFormula>$BN7*$AD$18</calculatedColumnFormula>
    </tableColumn>
    <tableColumn id="16" xr3:uid="{C7F10793-669E-42CB-9762-40C491CB19EF}" name="Columna16" totalsRowFunction="sum" dataDxfId="319" totalsRowDxfId="318" dataCellStyle="Normal 2 2" totalsRowCellStyle="Normal 2 2">
      <calculatedColumnFormula>$BN7*$AD$19</calculatedColumnFormula>
    </tableColumn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33B921B-EA1F-42F7-9D96-12422D93DF93}" name="Tabla24105711" displayName="Tabla24105711" ref="EM57:FB102" totalsRowCount="1" headerRowDxfId="37" dataDxfId="36" totalsRowDxfId="35" headerRowCellStyle="Normal 2 2" dataCellStyle="Normal 2 2">
  <autoFilter ref="EM57:FB101" xr:uid="{533B921B-EA1F-42F7-9D96-12422D93DF93}"/>
  <tableColumns count="16">
    <tableColumn id="1" xr3:uid="{EADB9B3B-A58E-4320-9694-862516AE97A3}" name="Columna1" dataDxfId="34" totalsRowDxfId="33" dataCellStyle="Normal 2 2">
      <calculatedColumnFormula>ED56</calculatedColumnFormula>
    </tableColumn>
    <tableColumn id="2" xr3:uid="{5B9F66D3-CFA9-49E3-B824-36293D6780A5}" name="Columna2" dataDxfId="32" totalsRowDxfId="31" dataCellStyle="Normal 2 2">
      <calculatedColumnFormula>DZ56</calculatedColumnFormula>
    </tableColumn>
    <tableColumn id="3" xr3:uid="{12CB4E98-093E-4CE3-9798-1B4A2A660B67}" name="Columna3" dataDxfId="30" totalsRowDxfId="29" dataCellStyle="Normal 2 2">
      <calculatedColumnFormula>EA56</calculatedColumnFormula>
    </tableColumn>
    <tableColumn id="4" xr3:uid="{405F7226-A05E-4B05-9A02-206035C780E3}" name="Columna4" dataDxfId="28" totalsRowDxfId="27" dataCellStyle="Normal 2 2">
      <calculatedColumnFormula>EB56</calculatedColumnFormula>
    </tableColumn>
    <tableColumn id="5" xr3:uid="{FB49839C-7F19-4FE4-8B3E-2ADD6376DE6E}" name="Columna5" totalsRowFunction="sum" dataDxfId="26" totalsRowDxfId="25" dataCellStyle="Normal 2 2">
      <calculatedColumnFormula>$BN58*$AD$8</calculatedColumnFormula>
    </tableColumn>
    <tableColumn id="6" xr3:uid="{1CB70FF9-7C47-4664-B5CE-0D8244782411}" name="Columna6" totalsRowFunction="sum" dataDxfId="24" totalsRowDxfId="23" dataCellStyle="Normal 2 2">
      <calculatedColumnFormula>$BN58*$AD$9</calculatedColumnFormula>
    </tableColumn>
    <tableColumn id="7" xr3:uid="{75ADC390-C011-4804-B89C-7E4B697BBD53}" name="Columna7" totalsRowFunction="sum" dataDxfId="22" totalsRowDxfId="21" dataCellStyle="Normal 2 2">
      <calculatedColumnFormula>$BN58*$AD$10</calculatedColumnFormula>
    </tableColumn>
    <tableColumn id="8" xr3:uid="{1E26AA02-E95B-4EED-BEC4-A59A681C3843}" name="Columna8" totalsRowFunction="sum" dataDxfId="20" totalsRowDxfId="19" dataCellStyle="Normal 2 2">
      <calculatedColumnFormula>$BN58*$AD$11</calculatedColumnFormula>
    </tableColumn>
    <tableColumn id="9" xr3:uid="{6502029D-B8A7-41B3-A025-F461F9F0F8CE}" name="Columna9" totalsRowFunction="sum" dataDxfId="18" totalsRowDxfId="17" dataCellStyle="Normal 2 2">
      <calculatedColumnFormula>$BN58*$AD$12</calculatedColumnFormula>
    </tableColumn>
    <tableColumn id="10" xr3:uid="{399E064C-91F2-469F-BC7D-2589CB72B640}" name="Columna10" totalsRowFunction="sum" dataDxfId="16" totalsRowDxfId="15" dataCellStyle="Normal 2 2">
      <calculatedColumnFormula>$BN58*$AD$13</calculatedColumnFormula>
    </tableColumn>
    <tableColumn id="11" xr3:uid="{C717ABA9-303A-4967-AC24-91E2B9014FBD}" name="Columna11" totalsRowFunction="sum" dataDxfId="14" totalsRowDxfId="13" dataCellStyle="Normal 2 2">
      <calculatedColumnFormula>$BN58*$AD$14</calculatedColumnFormula>
    </tableColumn>
    <tableColumn id="12" xr3:uid="{D95A0326-1483-4EB7-B7FA-8ACF65BCFF42}" name="Columna12" totalsRowFunction="sum" dataDxfId="12" totalsRowDxfId="11" dataCellStyle="Normal 2 2">
      <calculatedColumnFormula>$BN58*$AD$15</calculatedColumnFormula>
    </tableColumn>
    <tableColumn id="13" xr3:uid="{F6CD50EC-89CC-4554-BBB3-11D07D5B5562}" name="Columna13" totalsRowFunction="sum" dataDxfId="10" totalsRowDxfId="9" dataCellStyle="Normal 2 2">
      <calculatedColumnFormula>$BN58*$AD$16</calculatedColumnFormula>
    </tableColumn>
    <tableColumn id="14" xr3:uid="{88A3349D-DB6A-4FD0-BA8F-A095E1420CD3}" name="Columna14" totalsRowFunction="sum" dataDxfId="8" totalsRowDxfId="7" dataCellStyle="Normal 2 2">
      <calculatedColumnFormula>$BN58*$AD$17</calculatedColumnFormula>
    </tableColumn>
    <tableColumn id="15" xr3:uid="{C1617A1E-EDD8-4E8D-A769-27F96D25B183}" name="Columna15" totalsRowFunction="sum" dataDxfId="6" totalsRowDxfId="5" dataCellStyle="Normal 2 2">
      <calculatedColumnFormula>$BN58*$AD$18</calculatedColumnFormula>
    </tableColumn>
    <tableColumn id="16" xr3:uid="{19358DCF-11B9-4572-A332-9266508EA8C5}" name="Columna16" totalsRowFunction="sum" dataDxfId="4" totalsRowDxfId="3" dataCellStyle="Normal 2 2">
      <calculatedColumnFormula>$BN58*$AD$19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CCF554-7AB5-4732-B552-BB3BE544D2AA}" name="Tabla24" displayName="Tabla24" ref="BK57:BZ102" totalsRowCount="1" headerRowDxfId="317" dataDxfId="316" totalsRowDxfId="315" headerRowCellStyle="Normal 2 2" dataCellStyle="Normal 2 2">
  <autoFilter ref="BK57:BZ101" xr:uid="{A4CCF554-7AB5-4732-B552-BB3BE544D2AA}"/>
  <tableColumns count="16">
    <tableColumn id="1" xr3:uid="{86B34C54-501C-47F9-A0DF-F9B9D67FDD2D}" name="Columna1" dataDxfId="314" totalsRowDxfId="313" dataCellStyle="Normal 2 2">
      <calculatedColumnFormula>AQ56</calculatedColumnFormula>
    </tableColumn>
    <tableColumn id="2" xr3:uid="{5F2B01E7-2330-4E8F-8384-6C1296A441D3}" name="Columna2" totalsRowFunction="custom" dataDxfId="312" totalsRowDxfId="311" dataCellStyle="Normal 2 2">
      <calculatedColumnFormula>AM56</calculatedColumnFormula>
      <totalsRowFormula>SUM(BL59:BL101)</totalsRowFormula>
    </tableColumn>
    <tableColumn id="3" xr3:uid="{F0280F52-4CD7-4937-956F-5705A08812AA}" name="Columna3" totalsRowFunction="custom" dataDxfId="310" totalsRowDxfId="309" dataCellStyle="Normal 2 2">
      <calculatedColumnFormula>AN56</calculatedColumnFormula>
      <totalsRowFormula>SUM(BM59:BM101)</totalsRowFormula>
    </tableColumn>
    <tableColumn id="4" xr3:uid="{638323BF-248A-4DEC-ACBC-5829BCCE333D}" name="Columna4" totalsRowFunction="custom" dataDxfId="308" totalsRowDxfId="307" dataCellStyle="Normal 2 2">
      <calculatedColumnFormula>AO56</calculatedColumnFormula>
      <totalsRowFormula>SUM(BN59:BN101)</totalsRowFormula>
    </tableColumn>
    <tableColumn id="5" xr3:uid="{61D5ADBE-E0C8-4540-9CA2-6CC536AC2DF2}" name="Columna5" totalsRowFunction="sum" dataDxfId="306" totalsRowDxfId="305" dataCellStyle="Normal 2 2">
      <calculatedColumnFormula>$BN58*$AD$8</calculatedColumnFormula>
    </tableColumn>
    <tableColumn id="6" xr3:uid="{B6C98BC8-2738-4BC5-A442-75E557CF6A14}" name="Columna6" totalsRowFunction="sum" dataDxfId="304" totalsRowDxfId="303" dataCellStyle="Normal 2 2">
      <calculatedColumnFormula>$BN58*$AD$9</calculatedColumnFormula>
    </tableColumn>
    <tableColumn id="7" xr3:uid="{06975B1C-5F0B-43BE-A7C9-427C9CBEEFE3}" name="Columna7" totalsRowFunction="sum" dataDxfId="302" totalsRowDxfId="301" dataCellStyle="Normal 2 2">
      <calculatedColumnFormula>$BN58*$AD$10</calculatedColumnFormula>
    </tableColumn>
    <tableColumn id="8" xr3:uid="{BB5982BD-2B57-41A1-8DAB-6575095D0191}" name="Columna8" totalsRowFunction="sum" dataDxfId="300" totalsRowDxfId="299" dataCellStyle="Normal 2 2">
      <calculatedColumnFormula>$BN58*$AD$11</calculatedColumnFormula>
    </tableColumn>
    <tableColumn id="9" xr3:uid="{59F67748-0C41-4BFE-8FC9-420B03BE1762}" name="Columna9" totalsRowFunction="sum" dataDxfId="298" totalsRowDxfId="297" dataCellStyle="Normal 2 2">
      <calculatedColumnFormula>$BN58*$AD$12</calculatedColumnFormula>
    </tableColumn>
    <tableColumn id="10" xr3:uid="{279BA131-43E7-4173-85F2-17E66BB3FEA7}" name="Columna10" totalsRowFunction="sum" dataDxfId="296" totalsRowDxfId="295" dataCellStyle="Normal 2 2">
      <calculatedColumnFormula>$BN58*$AD$13</calculatedColumnFormula>
    </tableColumn>
    <tableColumn id="11" xr3:uid="{0609A172-3243-4431-8A76-66ABEBB0331F}" name="Columna11" totalsRowFunction="sum" dataDxfId="294" totalsRowDxfId="293" dataCellStyle="Normal 2 2">
      <calculatedColumnFormula>$BN58*$AD$14</calculatedColumnFormula>
    </tableColumn>
    <tableColumn id="12" xr3:uid="{61F65B41-5DBE-4D51-ABB4-C8F32D7A5557}" name="Columna12" totalsRowFunction="sum" dataDxfId="292" totalsRowDxfId="291" dataCellStyle="Normal 2 2">
      <calculatedColumnFormula>$BN58*$AD$15</calculatedColumnFormula>
    </tableColumn>
    <tableColumn id="13" xr3:uid="{262A49E8-47A9-4FF9-A389-40C2A77D3848}" name="Columna13" totalsRowFunction="sum" dataDxfId="290" totalsRowDxfId="289" dataCellStyle="Normal 2 2">
      <calculatedColumnFormula>$BN58*$AD$16</calculatedColumnFormula>
    </tableColumn>
    <tableColumn id="14" xr3:uid="{2A45F676-D65B-498E-ACEC-DCFB85754E79}" name="Columna14" totalsRowFunction="sum" dataDxfId="288" totalsRowDxfId="287" dataCellStyle="Normal 2 2">
      <calculatedColumnFormula>$BN58*$AD$17</calculatedColumnFormula>
    </tableColumn>
    <tableColumn id="15" xr3:uid="{4D24181C-3281-457C-9992-0689115D90BC}" name="Columna15" totalsRowFunction="sum" dataDxfId="286" totalsRowDxfId="285" dataCellStyle="Normal 2 2">
      <calculatedColumnFormula>$BN58*$AD$18</calculatedColumnFormula>
    </tableColumn>
    <tableColumn id="16" xr3:uid="{98AE6E7C-331F-440B-96FB-EB3001018629}" name="Columna16" totalsRowFunction="sum" dataDxfId="284" totalsRowDxfId="283" dataCellStyle="Normal 2 2">
      <calculatedColumnFormula>$BN58*$AD$19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B27565-C0EB-467E-AC63-C48BBC4C6205}" name="Tabla29" displayName="Tabla29" ref="CE6:CT51" totalsRowCount="1" headerRowDxfId="282" dataDxfId="281" totalsRowDxfId="280" headerRowCellStyle="Normal 2 2" dataCellStyle="Normal 2 2">
  <autoFilter ref="CE6:CT50" xr:uid="{20B27565-C0EB-467E-AC63-C48BBC4C6205}"/>
  <tableColumns count="16">
    <tableColumn id="1" xr3:uid="{9ECAFA3D-51B6-43B5-B678-BF5F62A164E9}" name="Columna1" dataDxfId="279" totalsRowDxfId="278" dataCellStyle="Normal 2 2">
      <calculatedColumnFormula>BV5</calculatedColumnFormula>
    </tableColumn>
    <tableColumn id="2" xr3:uid="{7505C225-6BE2-4570-9B69-6358C1B91BC7}" name="Columna2" totalsRowFunction="sum" dataDxfId="277" totalsRowDxfId="276" dataCellStyle="Normal 2 2">
      <calculatedColumnFormula>BR5</calculatedColumnFormula>
    </tableColumn>
    <tableColumn id="3" xr3:uid="{99C27E0D-871A-457A-AD02-D27C237EF6C5}" name="Columna3" totalsRowFunction="sum" dataDxfId="275" totalsRowDxfId="274" dataCellStyle="Normal 2 2">
      <calculatedColumnFormula>BS5</calculatedColumnFormula>
    </tableColumn>
    <tableColumn id="4" xr3:uid="{0D49416C-E42E-45DF-8450-6729085A2608}" name="Columna4" totalsRowFunction="sum" dataDxfId="273" totalsRowDxfId="272" dataCellStyle="Normal 2 2">
      <calculatedColumnFormula>BT5</calculatedColumnFormula>
    </tableColumn>
    <tableColumn id="5" xr3:uid="{D0A31174-7C64-48F7-BDEC-DFC6208779ED}" name="Columna5" totalsRowFunction="sum" dataDxfId="271" totalsRowDxfId="270" dataCellStyle="Normal 2 2">
      <calculatedColumnFormula>$BN7*$AD$8</calculatedColumnFormula>
    </tableColumn>
    <tableColumn id="6" xr3:uid="{4E6CA76D-6F0B-48E8-A989-0A6E9F382F21}" name="Columna6" totalsRowFunction="sum" dataDxfId="269" totalsRowDxfId="268" dataCellStyle="Normal 2 2">
      <calculatedColumnFormula>$BN7*$AD$9</calculatedColumnFormula>
    </tableColumn>
    <tableColumn id="7" xr3:uid="{F25FF960-BA82-486F-9632-BED3250A6A76}" name="Columna7" totalsRowFunction="sum" dataDxfId="267" totalsRowDxfId="266" dataCellStyle="Normal 2 2">
      <calculatedColumnFormula>$BN7*$AD$10</calculatedColumnFormula>
    </tableColumn>
    <tableColumn id="8" xr3:uid="{1A40EEAF-69AF-4826-98F7-C8897DD00FC8}" name="Columna8" totalsRowFunction="sum" dataDxfId="265" totalsRowDxfId="264" dataCellStyle="Normal 2 2">
      <calculatedColumnFormula>$BN7*$AD$11</calculatedColumnFormula>
    </tableColumn>
    <tableColumn id="9" xr3:uid="{DAE8BE68-19A8-4309-AF44-1E5694B95336}" name="Columna9" totalsRowFunction="sum" dataDxfId="263" totalsRowDxfId="262" dataCellStyle="Normal 2 2">
      <calculatedColumnFormula>$BN7*$AD$12</calculatedColumnFormula>
    </tableColumn>
    <tableColumn id="10" xr3:uid="{E78F4BB9-642E-4ED9-B62E-6FFFF4EFB1A3}" name="Columna10" totalsRowFunction="sum" dataDxfId="261" totalsRowDxfId="260" dataCellStyle="Normal 2 2">
      <calculatedColumnFormula>$BN7*$AD$13</calculatedColumnFormula>
    </tableColumn>
    <tableColumn id="11" xr3:uid="{1F70A60A-EE1E-4A95-8BB7-B3821C2283C4}" name="Columna11" totalsRowFunction="sum" dataDxfId="259" totalsRowDxfId="258" dataCellStyle="Normal 2 2">
      <calculatedColumnFormula>$BN7*$AD$14</calculatedColumnFormula>
    </tableColumn>
    <tableColumn id="12" xr3:uid="{1555D702-AF93-413E-9B3B-ED6242C85DDA}" name="Columna12" totalsRowFunction="sum" dataDxfId="257" totalsRowDxfId="256" dataCellStyle="Normal 2 2">
      <calculatedColumnFormula>$BN7*$AD$15</calculatedColumnFormula>
    </tableColumn>
    <tableColumn id="13" xr3:uid="{50EA2321-8C04-4563-808D-240BD95AF069}" name="Columna13" totalsRowFunction="sum" dataDxfId="255" totalsRowDxfId="254" dataCellStyle="Normal 2 2">
      <calculatedColumnFormula>$BN7*$AD$16</calculatedColumnFormula>
    </tableColumn>
    <tableColumn id="14" xr3:uid="{158573D0-568D-4192-87CB-0B15B7F6DBCA}" name="Columna14" totalsRowFunction="sum" dataDxfId="253" totalsRowDxfId="252" dataCellStyle="Normal 2 2">
      <calculatedColumnFormula>$BN7*$AD$17</calculatedColumnFormula>
    </tableColumn>
    <tableColumn id="15" xr3:uid="{0EFC75DB-68D1-462B-B7AD-25D5435A5B21}" name="Columna15" totalsRowFunction="sum" dataDxfId="251" totalsRowDxfId="250" dataCellStyle="Normal 2 2">
      <calculatedColumnFormula>$BN7*$AD$18</calculatedColumnFormula>
    </tableColumn>
    <tableColumn id="16" xr3:uid="{BF16F620-7F50-47E4-9A03-ABC0036644FF}" name="Columna16" totalsRowFunction="sum" dataDxfId="249" totalsRowDxfId="248" dataCellStyle="Normal 2 2">
      <calculatedColumnFormula>$BN7*$AD$19</calculatedColumn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243E3A2-7A67-4E31-8704-84098260ADAD}" name="Tabla2410" displayName="Tabla2410" ref="CE57:CT102" totalsRowCount="1" headerRowDxfId="247" dataDxfId="246" totalsRowDxfId="245" headerRowCellStyle="Normal 2 2" dataCellStyle="Normal 2 2">
  <autoFilter ref="CE57:CT101" xr:uid="{0243E3A2-7A67-4E31-8704-84098260ADAD}"/>
  <tableColumns count="16">
    <tableColumn id="1" xr3:uid="{1CEEC9D7-5A4F-4078-8352-93E28A12754F}" name="Columna1" dataDxfId="244" totalsRowDxfId="243" dataCellStyle="Normal 2 2">
      <calculatedColumnFormula>BV56</calculatedColumnFormula>
    </tableColumn>
    <tableColumn id="2" xr3:uid="{C7F0467D-9F58-442B-A71E-9762BF99B760}" name="Columna2" dataDxfId="242" totalsRowDxfId="241" dataCellStyle="Normal 2 2">
      <calculatedColumnFormula>BR56</calculatedColumnFormula>
    </tableColumn>
    <tableColumn id="3" xr3:uid="{4C48177E-E719-462A-9C0F-89E9C5A0F4C6}" name="Columna3" dataDxfId="240" totalsRowDxfId="239" dataCellStyle="Normal 2 2">
      <calculatedColumnFormula>BS56</calculatedColumnFormula>
    </tableColumn>
    <tableColumn id="4" xr3:uid="{6A0456F3-77AA-4A6E-8E96-EE3AC8586214}" name="Columna4" dataDxfId="238" totalsRowDxfId="237" dataCellStyle="Normal 2 2">
      <calculatedColumnFormula>BT56</calculatedColumnFormula>
    </tableColumn>
    <tableColumn id="5" xr3:uid="{8B418540-715A-4C89-8ABB-37F7016872F2}" name="Columna5" totalsRowFunction="sum" dataDxfId="236" totalsRowDxfId="235" dataCellStyle="Normal 2 2">
      <calculatedColumnFormula>$BN58*$AD$8</calculatedColumnFormula>
    </tableColumn>
    <tableColumn id="6" xr3:uid="{587A5066-92CF-4214-BEF1-CAC6764AC48E}" name="Columna6" totalsRowFunction="sum" dataDxfId="234" totalsRowDxfId="233" dataCellStyle="Normal 2 2">
      <calculatedColumnFormula>$BN58*$AD$9</calculatedColumnFormula>
    </tableColumn>
    <tableColumn id="7" xr3:uid="{E79ED5B4-A84D-4FE1-B8A0-2872A7C6A53B}" name="Columna7" totalsRowFunction="sum" dataDxfId="232" totalsRowDxfId="231" dataCellStyle="Normal 2 2">
      <calculatedColumnFormula>$BN58*$AD$10</calculatedColumnFormula>
    </tableColumn>
    <tableColumn id="8" xr3:uid="{E82782C1-08AF-4428-AE04-BA09BC9383E1}" name="Columna8" totalsRowFunction="sum" dataDxfId="230" totalsRowDxfId="229" dataCellStyle="Normal 2 2">
      <calculatedColumnFormula>$BN58*$AD$11</calculatedColumnFormula>
    </tableColumn>
    <tableColumn id="9" xr3:uid="{3DDC8916-F468-40E3-A72D-0DABD7C216E9}" name="Columna9" totalsRowFunction="sum" dataDxfId="228" totalsRowDxfId="227" dataCellStyle="Normal 2 2">
      <calculatedColumnFormula>$BN58*$AD$12</calculatedColumnFormula>
    </tableColumn>
    <tableColumn id="10" xr3:uid="{4037D610-4644-4460-98B5-48F8508A6C1A}" name="Columna10" totalsRowFunction="sum" dataDxfId="226" totalsRowDxfId="225" dataCellStyle="Normal 2 2">
      <calculatedColumnFormula>$BN58*$AD$13</calculatedColumnFormula>
    </tableColumn>
    <tableColumn id="11" xr3:uid="{1DD75330-1142-4E4F-84C7-01CEA431A510}" name="Columna11" totalsRowFunction="sum" dataDxfId="224" totalsRowDxfId="223" dataCellStyle="Normal 2 2">
      <calculatedColumnFormula>$BN58*$AD$14</calculatedColumnFormula>
    </tableColumn>
    <tableColumn id="12" xr3:uid="{4DE8713D-7635-4AF7-85F3-A62F0414B734}" name="Columna12" totalsRowFunction="sum" dataDxfId="222" totalsRowDxfId="221" dataCellStyle="Normal 2 2">
      <calculatedColumnFormula>$BN58*$AD$15</calculatedColumnFormula>
    </tableColumn>
    <tableColumn id="13" xr3:uid="{46049F58-1B16-4BE2-B524-A851230DF8B8}" name="Columna13" totalsRowFunction="sum" dataDxfId="220" totalsRowDxfId="219" dataCellStyle="Normal 2 2">
      <calculatedColumnFormula>$BN58*$AD$16</calculatedColumnFormula>
    </tableColumn>
    <tableColumn id="14" xr3:uid="{E8602A73-2B35-4E84-9DAD-3E7833649C36}" name="Columna14" totalsRowFunction="sum" dataDxfId="218" totalsRowDxfId="217" dataCellStyle="Normal 2 2">
      <calculatedColumnFormula>$BN58*$AD$17</calculatedColumnFormula>
    </tableColumn>
    <tableColumn id="15" xr3:uid="{1B716B8A-2790-467F-BEAE-E600F6CE1DBF}" name="Columna15" totalsRowFunction="sum" dataDxfId="216" totalsRowDxfId="215" dataCellStyle="Normal 2 2">
      <calculatedColumnFormula>$BN58*$AD$18</calculatedColumnFormula>
    </tableColumn>
    <tableColumn id="16" xr3:uid="{83EE8AEE-D69D-4856-A828-1F1F7CDCBE32}" name="Columna16" totalsRowFunction="sum" dataDxfId="214" totalsRowDxfId="213" dataCellStyle="Normal 2 2">
      <calculatedColumnFormula>$BN58*$AD$19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3D48D7-97BB-462D-8112-43B77A66FB44}" name="Tabla292" displayName="Tabla292" ref="CY6:DN51" totalsRowCount="1" headerRowDxfId="212" dataDxfId="211" totalsRowDxfId="210" headerRowCellStyle="Normal 2 2" dataCellStyle="Normal 2 2">
  <autoFilter ref="CY6:DN50" xr:uid="{493D48D7-97BB-462D-8112-43B77A66FB44}"/>
  <tableColumns count="16">
    <tableColumn id="1" xr3:uid="{05086AE5-C3E7-4504-9515-EA9FA91E7CAA}" name="Columna1" dataDxfId="209" totalsRowDxfId="208" dataCellStyle="Normal 2 2">
      <calculatedColumnFormula>CP5</calculatedColumnFormula>
    </tableColumn>
    <tableColumn id="2" xr3:uid="{101344F1-F334-44F7-B16C-AC0461B2E85B}" name="Columna2" totalsRowFunction="sum" dataDxfId="207" totalsRowDxfId="206" dataCellStyle="Normal 2 2">
      <calculatedColumnFormula>CL5</calculatedColumnFormula>
    </tableColumn>
    <tableColumn id="3" xr3:uid="{1B6F314E-57DA-40F0-9E15-55B169C82DFD}" name="Columna3" totalsRowFunction="sum" dataDxfId="205" totalsRowDxfId="204" dataCellStyle="Normal 2 2">
      <calculatedColumnFormula>CM5</calculatedColumnFormula>
    </tableColumn>
    <tableColumn id="4" xr3:uid="{91E0053C-7972-4722-80C0-7B20F34A608B}" name="Columna4" totalsRowFunction="sum" dataDxfId="203" totalsRowDxfId="202" dataCellStyle="Normal 2 2">
      <calculatedColumnFormula>CN5</calculatedColumnFormula>
    </tableColumn>
    <tableColumn id="5" xr3:uid="{1A5403A9-4096-4E9B-9ED1-A27CB48520C1}" name="Columna5" totalsRowFunction="sum" dataDxfId="201" totalsRowDxfId="200" dataCellStyle="Normal 2 2">
      <calculatedColumnFormula>$BN7*$AD$8</calculatedColumnFormula>
    </tableColumn>
    <tableColumn id="6" xr3:uid="{E97EE7F6-969B-4ABE-9853-D5C78EAF6E93}" name="Columna6" totalsRowFunction="sum" dataDxfId="199" totalsRowDxfId="198" dataCellStyle="Normal 2 2">
      <calculatedColumnFormula>$BN7*$AD$9</calculatedColumnFormula>
    </tableColumn>
    <tableColumn id="7" xr3:uid="{84B0FB5E-4B4B-46B9-A2EE-8477B62E771C}" name="Columna7" totalsRowFunction="sum" dataDxfId="197" totalsRowDxfId="196" dataCellStyle="Normal 2 2">
      <calculatedColumnFormula>$BN7*$AD$10</calculatedColumnFormula>
    </tableColumn>
    <tableColumn id="8" xr3:uid="{0D78CEC2-B8CF-414D-AD75-8239495019EC}" name="Columna8" totalsRowFunction="sum" dataDxfId="195" totalsRowDxfId="194" dataCellStyle="Normal 2 2">
      <calculatedColumnFormula>$BN7*$AD$11</calculatedColumnFormula>
    </tableColumn>
    <tableColumn id="9" xr3:uid="{46448F24-0DCD-4B3A-AA24-12C8B334A077}" name="Columna9" totalsRowFunction="sum" dataDxfId="193" totalsRowDxfId="192" dataCellStyle="Normal 2 2">
      <calculatedColumnFormula>$BN7*$AD$12</calculatedColumnFormula>
    </tableColumn>
    <tableColumn id="10" xr3:uid="{965D8974-DD12-4C5D-8C0B-0EB30172462F}" name="Columna10" totalsRowFunction="sum" dataDxfId="191" totalsRowDxfId="190" dataCellStyle="Normal 2 2">
      <calculatedColumnFormula>$BN7*$AD$13</calculatedColumnFormula>
    </tableColumn>
    <tableColumn id="11" xr3:uid="{4F47B8F1-00E3-4771-B2CB-E38FFD2752AB}" name="Columna11" totalsRowFunction="sum" dataDxfId="189" totalsRowDxfId="188" dataCellStyle="Normal 2 2">
      <calculatedColumnFormula>$BN7*$AD$14</calculatedColumnFormula>
    </tableColumn>
    <tableColumn id="12" xr3:uid="{D3CB0BBA-5C4B-41DD-BD61-F35C87835734}" name="Columna12" totalsRowFunction="sum" dataDxfId="187" totalsRowDxfId="186" dataCellStyle="Normal 2 2">
      <calculatedColumnFormula>$BN7*$AD$15</calculatedColumnFormula>
    </tableColumn>
    <tableColumn id="13" xr3:uid="{7E3DA7C9-F54D-4F2E-B8B0-3081A3919003}" name="Columna13" totalsRowFunction="sum" dataDxfId="185" totalsRowDxfId="184" dataCellStyle="Normal 2 2">
      <calculatedColumnFormula>$BN7*$AD$16</calculatedColumnFormula>
    </tableColumn>
    <tableColumn id="14" xr3:uid="{42E7624E-91BF-40EA-B547-D73C252658E1}" name="Columna14" totalsRowFunction="sum" dataDxfId="183" totalsRowDxfId="182" dataCellStyle="Normal 2 2">
      <calculatedColumnFormula>$BN7*$AD$17</calculatedColumnFormula>
    </tableColumn>
    <tableColumn id="15" xr3:uid="{EE1C407D-EF96-496F-9FEA-EA958EB43529}" name="Columna15" totalsRowFunction="sum" dataDxfId="181" totalsRowDxfId="180" dataCellStyle="Normal 2 2">
      <calculatedColumnFormula>$BN7*$AD$18</calculatedColumnFormula>
    </tableColumn>
    <tableColumn id="16" xr3:uid="{669B4AA2-65E1-4F22-A116-7CC553ED1BCE}" name="Columna16" totalsRowFunction="sum" dataDxfId="179" totalsRowDxfId="178" dataCellStyle="Normal 2 2">
      <calculatedColumnFormula>$BN7*$AD$19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8954828-D399-40A4-8884-5C107162E1A8}" name="Tabla24105" displayName="Tabla24105" ref="CY57:DN102" totalsRowCount="1" headerRowDxfId="177" dataDxfId="176" totalsRowDxfId="175" headerRowCellStyle="Normal 2 2" dataCellStyle="Normal 2 2">
  <autoFilter ref="CY57:DN101" xr:uid="{48954828-D399-40A4-8884-5C107162E1A8}"/>
  <tableColumns count="16">
    <tableColumn id="1" xr3:uid="{27684080-1203-4111-BD68-87A625A23AE3}" name="Columna1" dataDxfId="174" totalsRowDxfId="173" dataCellStyle="Normal 2 2">
      <calculatedColumnFormula>CP56</calculatedColumnFormula>
    </tableColumn>
    <tableColumn id="2" xr3:uid="{77C82C59-5F91-4CB1-9D45-AB61A3781689}" name="Columna2" dataDxfId="172" totalsRowDxfId="171" dataCellStyle="Normal 2 2">
      <calculatedColumnFormula>CL56</calculatedColumnFormula>
    </tableColumn>
    <tableColumn id="3" xr3:uid="{415AC1AD-F96F-4A1E-9DE5-5F2830524FFE}" name="Columna3" dataDxfId="170" totalsRowDxfId="169" dataCellStyle="Normal 2 2">
      <calculatedColumnFormula>CM56</calculatedColumnFormula>
    </tableColumn>
    <tableColumn id="4" xr3:uid="{973F0318-8B15-4431-85C1-16DF562BBEE4}" name="Columna4" dataDxfId="168" totalsRowDxfId="167" dataCellStyle="Normal 2 2">
      <calculatedColumnFormula>CN56</calculatedColumnFormula>
    </tableColumn>
    <tableColumn id="5" xr3:uid="{EE56E487-A087-4975-A9B6-0513DCE5973E}" name="Columna5" totalsRowFunction="sum" dataDxfId="166" totalsRowDxfId="165" dataCellStyle="Normal 2 2">
      <calculatedColumnFormula>$BN58*$AD$8</calculatedColumnFormula>
    </tableColumn>
    <tableColumn id="6" xr3:uid="{15918E5D-A315-4F1F-823E-1DCDBA474E41}" name="Columna6" totalsRowFunction="sum" dataDxfId="164" totalsRowDxfId="163" dataCellStyle="Normal 2 2">
      <calculatedColumnFormula>$BN58*$AD$9</calculatedColumnFormula>
    </tableColumn>
    <tableColumn id="7" xr3:uid="{DF633501-E7BC-4156-A6A4-45F5B47BC90A}" name="Columna7" totalsRowFunction="sum" dataDxfId="162" totalsRowDxfId="161" dataCellStyle="Normal 2 2">
      <calculatedColumnFormula>$BN58*$AD$10</calculatedColumnFormula>
    </tableColumn>
    <tableColumn id="8" xr3:uid="{700DA277-88F9-4D59-83C5-84A8FEAEFF12}" name="Columna8" totalsRowFunction="sum" dataDxfId="160" totalsRowDxfId="159" dataCellStyle="Normal 2 2">
      <calculatedColumnFormula>$BN58*$AD$11</calculatedColumnFormula>
    </tableColumn>
    <tableColumn id="9" xr3:uid="{ED056136-E769-4975-80C9-1958F2924BA3}" name="Columna9" totalsRowFunction="sum" dataDxfId="158" totalsRowDxfId="157" dataCellStyle="Normal 2 2">
      <calculatedColumnFormula>$BN58*$AD$12</calculatedColumnFormula>
    </tableColumn>
    <tableColumn id="10" xr3:uid="{AD3FA9F3-7575-499D-8B71-C3900B624068}" name="Columna10" totalsRowFunction="sum" dataDxfId="156" totalsRowDxfId="155" dataCellStyle="Normal 2 2">
      <calculatedColumnFormula>$BN58*$AD$13</calculatedColumnFormula>
    </tableColumn>
    <tableColumn id="11" xr3:uid="{8ADD865A-52EC-4428-8535-A68B424CFA7A}" name="Columna11" totalsRowFunction="sum" dataDxfId="154" totalsRowDxfId="153" dataCellStyle="Normal 2 2">
      <calculatedColumnFormula>$BN58*$AD$14</calculatedColumnFormula>
    </tableColumn>
    <tableColumn id="12" xr3:uid="{7713FCD4-0162-41B9-92F3-AF0A485DB042}" name="Columna12" totalsRowFunction="sum" dataDxfId="152" totalsRowDxfId="151" dataCellStyle="Normal 2 2">
      <calculatedColumnFormula>$BN58*$AD$15</calculatedColumnFormula>
    </tableColumn>
    <tableColumn id="13" xr3:uid="{85CB7F4B-07E4-47C2-B677-60F0AE47610D}" name="Columna13" totalsRowFunction="sum" dataDxfId="150" totalsRowDxfId="149" dataCellStyle="Normal 2 2">
      <calculatedColumnFormula>$BN58*$AD$16</calculatedColumnFormula>
    </tableColumn>
    <tableColumn id="14" xr3:uid="{706E7778-E91A-4C5C-B59F-E6D12FA75309}" name="Columna14" totalsRowFunction="sum" dataDxfId="148" totalsRowDxfId="147" dataCellStyle="Normal 2 2">
      <calculatedColumnFormula>$BN58*$AD$17</calculatedColumnFormula>
    </tableColumn>
    <tableColumn id="15" xr3:uid="{E3542E49-2032-43A4-A0DD-ECE5D9106B7F}" name="Columna15" totalsRowFunction="sum" dataDxfId="146" totalsRowDxfId="145" dataCellStyle="Normal 2 2">
      <calculatedColumnFormula>$BN58*$AD$18</calculatedColumnFormula>
    </tableColumn>
    <tableColumn id="16" xr3:uid="{81D5034A-CDE1-482A-9CA1-7872A9C0CEE7}" name="Columna16" totalsRowFunction="sum" dataDxfId="144" totalsRowDxfId="143" dataCellStyle="Normal 2 2">
      <calculatedColumnFormula>$BN58*$AD$19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C70F5CE-724B-4DFF-AF0A-E3CAA305EDF0}" name="Tabla2926" displayName="Tabla2926" ref="DS6:EH51" totalsRowCount="1" headerRowDxfId="142" dataDxfId="141" totalsRowDxfId="140" headerRowCellStyle="Normal 2 2" dataCellStyle="Normal 2 2">
  <autoFilter ref="DS6:EH50" xr:uid="{EC70F5CE-724B-4DFF-AF0A-E3CAA305EDF0}"/>
  <tableColumns count="16">
    <tableColumn id="1" xr3:uid="{E0D4FA4A-01F4-4BD2-BF6D-0C07A30B0109}" name="Columna1" dataDxfId="139" totalsRowDxfId="138" dataCellStyle="Normal 2 2">
      <calculatedColumnFormula>DJ5</calculatedColumnFormula>
    </tableColumn>
    <tableColumn id="2" xr3:uid="{D6680C81-16E1-4730-A3B0-AD4CE4D9DF46}" name="Columna2" totalsRowFunction="sum" dataDxfId="137" totalsRowDxfId="136" dataCellStyle="Normal 2 2">
      <calculatedColumnFormula>DF5</calculatedColumnFormula>
    </tableColumn>
    <tableColumn id="3" xr3:uid="{FDB9EF5B-13D9-4D04-B0F1-4B6ABB1DEE2B}" name="Columna3" totalsRowFunction="sum" dataDxfId="135" totalsRowDxfId="134" dataCellStyle="Normal 2 2">
      <calculatedColumnFormula>DG5</calculatedColumnFormula>
    </tableColumn>
    <tableColumn id="4" xr3:uid="{CCD2E263-09B3-456B-8806-1DA4120276B7}" name="Columna4" totalsRowFunction="sum" dataDxfId="133" totalsRowDxfId="132" dataCellStyle="Normal 2 2">
      <calculatedColumnFormula>DH5</calculatedColumnFormula>
    </tableColumn>
    <tableColumn id="5" xr3:uid="{78FD7944-2C32-45A8-B719-644D9CD283D0}" name="Columna5" totalsRowFunction="sum" dataDxfId="131" totalsRowDxfId="130" dataCellStyle="Normal 2 2">
      <calculatedColumnFormula>$BN7*$AD$8</calculatedColumnFormula>
    </tableColumn>
    <tableColumn id="6" xr3:uid="{4A6369D8-8B5A-4226-9CDF-C6B616F504DE}" name="Columna6" totalsRowFunction="sum" dataDxfId="129" totalsRowDxfId="128" dataCellStyle="Normal 2 2">
      <calculatedColumnFormula>$BN7*$AD$9</calculatedColumnFormula>
    </tableColumn>
    <tableColumn id="7" xr3:uid="{681E6673-9F76-4B61-9C43-2ED374E2C2D4}" name="Columna7" totalsRowFunction="sum" dataDxfId="127" totalsRowDxfId="126" dataCellStyle="Normal 2 2">
      <calculatedColumnFormula>$BN7*$AD$10</calculatedColumnFormula>
    </tableColumn>
    <tableColumn id="8" xr3:uid="{C0E783B2-8FB0-414C-B6CC-D446C631B0CA}" name="Columna8" totalsRowFunction="sum" dataDxfId="125" totalsRowDxfId="124" dataCellStyle="Normal 2 2">
      <calculatedColumnFormula>$BN7*$AD$11</calculatedColumnFormula>
    </tableColumn>
    <tableColumn id="9" xr3:uid="{EFEF3F95-2772-4272-838A-C3694869EC85}" name="Columna9" totalsRowFunction="sum" dataDxfId="123" totalsRowDxfId="122" dataCellStyle="Normal 2 2">
      <calculatedColumnFormula>$BN7*$AD$12</calculatedColumnFormula>
    </tableColumn>
    <tableColumn id="10" xr3:uid="{D39A48E4-FF55-416D-9B36-06A3C0A57B45}" name="Columna10" totalsRowFunction="sum" dataDxfId="121" totalsRowDxfId="120" dataCellStyle="Normal 2 2">
      <calculatedColumnFormula>$BN7*$AD$13</calculatedColumnFormula>
    </tableColumn>
    <tableColumn id="11" xr3:uid="{D53E355A-6970-4267-9E19-A03372D37F72}" name="Columna11" totalsRowFunction="sum" dataDxfId="119" totalsRowDxfId="118" dataCellStyle="Normal 2 2">
      <calculatedColumnFormula>$BN7*$AD$14</calculatedColumnFormula>
    </tableColumn>
    <tableColumn id="12" xr3:uid="{A4A47305-A3EA-4FE2-9BCA-37DCC55DE70F}" name="Columna12" totalsRowFunction="sum" dataDxfId="117" totalsRowDxfId="116" dataCellStyle="Normal 2 2">
      <calculatedColumnFormula>$BN7*$AD$15</calculatedColumnFormula>
    </tableColumn>
    <tableColumn id="13" xr3:uid="{CE3BAAE4-B8DB-4342-9666-5FF5FFAB93B6}" name="Columna13" totalsRowFunction="sum" dataDxfId="115" totalsRowDxfId="114" dataCellStyle="Normal 2 2">
      <calculatedColumnFormula>$BN7*$AD$16</calculatedColumnFormula>
    </tableColumn>
    <tableColumn id="14" xr3:uid="{629A3B1C-5D71-4ABC-915D-E71E83640288}" name="Columna14" totalsRowFunction="sum" dataDxfId="113" totalsRowDxfId="112" dataCellStyle="Normal 2 2">
      <calculatedColumnFormula>$BN7*$AD$17</calculatedColumnFormula>
    </tableColumn>
    <tableColumn id="15" xr3:uid="{30F070E0-6074-4959-A368-093814978034}" name="Columna15" totalsRowFunction="sum" dataDxfId="111" totalsRowDxfId="110" dataCellStyle="Normal 2 2">
      <calculatedColumnFormula>$BN7*$AD$18</calculatedColumnFormula>
    </tableColumn>
    <tableColumn id="16" xr3:uid="{A044776B-F748-4088-AE5B-32D456969A88}" name="Columna16" totalsRowFunction="sum" dataDxfId="109" totalsRowDxfId="108" dataCellStyle="Normal 2 2">
      <calculatedColumnFormula>$BN7*$AD$19</calculatedColumnFormula>
    </tableColumn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259A92F-33BD-46A4-94DE-EB77B3C02C5E}" name="Tabla241057" displayName="Tabla241057" ref="DS57:EH102" totalsRowCount="1" headerRowDxfId="107" dataDxfId="106" totalsRowDxfId="105" headerRowCellStyle="Normal 2 2" dataCellStyle="Normal 2 2">
  <autoFilter ref="DS57:EH101" xr:uid="{3259A92F-33BD-46A4-94DE-EB77B3C02C5E}"/>
  <tableColumns count="16">
    <tableColumn id="1" xr3:uid="{1A4A0F7D-8831-4413-823D-857BFF587125}" name="Columna1" dataDxfId="104" totalsRowDxfId="103" dataCellStyle="Normal 2 2">
      <calculatedColumnFormula>DJ56</calculatedColumnFormula>
    </tableColumn>
    <tableColumn id="2" xr3:uid="{39E37DF9-783E-4AA9-8A9E-3C9C7C17DA41}" name="Columna2" dataDxfId="102" totalsRowDxfId="101" dataCellStyle="Normal 2 2">
      <calculatedColumnFormula>DF56</calculatedColumnFormula>
    </tableColumn>
    <tableColumn id="3" xr3:uid="{E9FB54D9-D0F4-4FC9-B6D9-58FB63D6F186}" name="Columna3" dataDxfId="100" totalsRowDxfId="99" dataCellStyle="Normal 2 2">
      <calculatedColumnFormula>DG56</calculatedColumnFormula>
    </tableColumn>
    <tableColumn id="4" xr3:uid="{3A21D297-65C5-4686-9613-F59AE929198F}" name="Columna4" dataDxfId="98" totalsRowDxfId="97" dataCellStyle="Normal 2 2">
      <calculatedColumnFormula>DH56</calculatedColumnFormula>
    </tableColumn>
    <tableColumn id="5" xr3:uid="{4CAAE1CF-E7D3-40A6-9A93-68106FC0813C}" name="Columna5" totalsRowFunction="sum" dataDxfId="96" totalsRowDxfId="95" dataCellStyle="Normal 2 2">
      <calculatedColumnFormula>$BN58*$AD$8</calculatedColumnFormula>
    </tableColumn>
    <tableColumn id="6" xr3:uid="{2A091E55-2E7A-4A46-8BEE-71C231B1261D}" name="Columna6" totalsRowFunction="sum" dataDxfId="94" totalsRowDxfId="93" dataCellStyle="Normal 2 2">
      <calculatedColumnFormula>$BN58*$AD$9</calculatedColumnFormula>
    </tableColumn>
    <tableColumn id="7" xr3:uid="{02C46EBB-8354-48E2-B65D-7A82E0F30765}" name="Columna7" totalsRowFunction="sum" dataDxfId="92" totalsRowDxfId="91" dataCellStyle="Normal 2 2">
      <calculatedColumnFormula>$BN58*$AD$10</calculatedColumnFormula>
    </tableColumn>
    <tableColumn id="8" xr3:uid="{8B5D69A1-2BB5-4955-8658-FD450204653A}" name="Columna8" totalsRowFunction="sum" dataDxfId="90" totalsRowDxfId="89" dataCellStyle="Normal 2 2">
      <calculatedColumnFormula>$BN58*$AD$11</calculatedColumnFormula>
    </tableColumn>
    <tableColumn id="9" xr3:uid="{1C5250C4-484A-4796-890A-15BF8BA24AAB}" name="Columna9" totalsRowFunction="sum" dataDxfId="88" totalsRowDxfId="87" dataCellStyle="Normal 2 2">
      <calculatedColumnFormula>$BN58*$AD$12</calculatedColumnFormula>
    </tableColumn>
    <tableColumn id="10" xr3:uid="{2EB45058-FEF4-4069-B38A-29A4F3592288}" name="Columna10" totalsRowFunction="sum" dataDxfId="86" totalsRowDxfId="85" dataCellStyle="Normal 2 2">
      <calculatedColumnFormula>$BN58*$AD$13</calculatedColumnFormula>
    </tableColumn>
    <tableColumn id="11" xr3:uid="{F0DCCF7D-0B21-4160-AD1A-D7A208A09CA6}" name="Columna11" totalsRowFunction="sum" dataDxfId="84" totalsRowDxfId="83" dataCellStyle="Normal 2 2">
      <calculatedColumnFormula>$BN58*$AD$14</calculatedColumnFormula>
    </tableColumn>
    <tableColumn id="12" xr3:uid="{CB299831-8A9F-4147-A3B4-C9277DE06187}" name="Columna12" totalsRowFunction="sum" dataDxfId="82" totalsRowDxfId="81" dataCellStyle="Normal 2 2">
      <calculatedColumnFormula>$BN58*$AD$15</calculatedColumnFormula>
    </tableColumn>
    <tableColumn id="13" xr3:uid="{26FF0803-3DFE-4F67-8FE7-B5C8C2DB383B}" name="Columna13" totalsRowFunction="sum" dataDxfId="80" totalsRowDxfId="79" dataCellStyle="Normal 2 2">
      <calculatedColumnFormula>$BN58*$AD$16</calculatedColumnFormula>
    </tableColumn>
    <tableColumn id="14" xr3:uid="{483E4617-9078-4A14-9B71-0BE968DBE354}" name="Columna14" totalsRowFunction="sum" dataDxfId="78" totalsRowDxfId="77" dataCellStyle="Normal 2 2">
      <calculatedColumnFormula>$BN58*$AD$17</calculatedColumnFormula>
    </tableColumn>
    <tableColumn id="15" xr3:uid="{FE075717-373B-45B0-90E8-7B9284E3271A}" name="Columna15" totalsRowFunction="sum" dataDxfId="76" totalsRowDxfId="75" dataCellStyle="Normal 2 2">
      <calculatedColumnFormula>$BN58*$AD$18</calculatedColumnFormula>
    </tableColumn>
    <tableColumn id="16" xr3:uid="{6BD3EDE5-6478-4B13-8582-5EAF38CA9C47}" name="Columna16" totalsRowFunction="sum" dataDxfId="74" totalsRowDxfId="73" dataCellStyle="Normal 2 2">
      <calculatedColumnFormula>$BN58*$AD$19</calculatedColumn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D587B76-E08E-4B54-8437-C650F0FB1F0E}" name="Tabla29268" displayName="Tabla29268" ref="EM6:FB51" totalsRowCount="1" headerRowDxfId="72" dataDxfId="71" totalsRowDxfId="70" headerRowCellStyle="Normal 2 2" dataCellStyle="Normal 2 2">
  <autoFilter ref="EM6:FB50" xr:uid="{FD587B76-E08E-4B54-8437-C650F0FB1F0E}"/>
  <tableColumns count="16">
    <tableColumn id="1" xr3:uid="{81321110-8B2C-4D40-AB3D-4F01E948D62F}" name="Columna1" dataDxfId="69" totalsRowDxfId="68" dataCellStyle="Normal 2 2">
      <calculatedColumnFormula>ED5</calculatedColumnFormula>
    </tableColumn>
    <tableColumn id="2" xr3:uid="{B180652B-9AB3-44F5-B349-53A02D710B17}" name="Columna2" totalsRowFunction="sum" dataDxfId="67" totalsRowDxfId="66" dataCellStyle="Normal 2 2">
      <calculatedColumnFormula>DZ5</calculatedColumnFormula>
    </tableColumn>
    <tableColumn id="3" xr3:uid="{C713D454-FCE6-499D-8B83-0C0605FAB741}" name="Columna3" totalsRowFunction="sum" dataDxfId="65" totalsRowDxfId="64" dataCellStyle="Normal 2 2">
      <calculatedColumnFormula>EA5</calculatedColumnFormula>
    </tableColumn>
    <tableColumn id="4" xr3:uid="{A142537B-1584-4621-8ABD-BF78BE2A64C6}" name="Columna4" totalsRowFunction="sum" dataDxfId="63" totalsRowDxfId="62" dataCellStyle="Normal 2 2">
      <calculatedColumnFormula>EB5</calculatedColumnFormula>
    </tableColumn>
    <tableColumn id="5" xr3:uid="{CAB96622-941A-40DE-BEC9-562254879958}" name="Columna5" totalsRowFunction="sum" dataDxfId="61" totalsRowDxfId="60" dataCellStyle="Normal 2 2">
      <calculatedColumnFormula>$BN7*$AD$8</calculatedColumnFormula>
    </tableColumn>
    <tableColumn id="6" xr3:uid="{EE0789B6-F5BB-478F-AB16-6D6EC934B43E}" name="Columna6" totalsRowFunction="sum" dataDxfId="59" totalsRowDxfId="58" dataCellStyle="Normal 2 2">
      <calculatedColumnFormula>$BN7*$AD$9</calculatedColumnFormula>
    </tableColumn>
    <tableColumn id="7" xr3:uid="{C78390E8-163C-49FE-920A-239A0EACA0B5}" name="Columna7" totalsRowFunction="sum" dataDxfId="57" totalsRowDxfId="56" dataCellStyle="Normal 2 2">
      <calculatedColumnFormula>$BN7*$AD$10</calculatedColumnFormula>
    </tableColumn>
    <tableColumn id="8" xr3:uid="{09772107-A139-4605-9E5E-68C99D2CA031}" name="Columna8" totalsRowFunction="sum" dataDxfId="55" totalsRowDxfId="54" dataCellStyle="Normal 2 2">
      <calculatedColumnFormula>$BN7*$AD$11</calculatedColumnFormula>
    </tableColumn>
    <tableColumn id="9" xr3:uid="{835117CA-BACE-4269-93AD-689A8ACF03E4}" name="Columna9" totalsRowFunction="sum" dataDxfId="53" totalsRowDxfId="52" dataCellStyle="Normal 2 2">
      <calculatedColumnFormula>$BN7*$AD$12</calculatedColumnFormula>
    </tableColumn>
    <tableColumn id="10" xr3:uid="{0FD69EE2-1430-4D51-BED8-442405F510E9}" name="Columna10" totalsRowFunction="sum" dataDxfId="51" totalsRowDxfId="50" dataCellStyle="Normal 2 2">
      <calculatedColumnFormula>$BN7*$AD$13</calculatedColumnFormula>
    </tableColumn>
    <tableColumn id="11" xr3:uid="{2EBCAECF-A218-4F0C-9EF5-94C598467AD2}" name="Columna11" totalsRowFunction="sum" dataDxfId="49" totalsRowDxfId="48" dataCellStyle="Normal 2 2">
      <calculatedColumnFormula>$BN7*$AD$14</calculatedColumnFormula>
    </tableColumn>
    <tableColumn id="12" xr3:uid="{0F6FA5E9-8D90-4021-8727-C50703AF9728}" name="Columna12" totalsRowFunction="sum" dataDxfId="47" totalsRowDxfId="46" dataCellStyle="Normal 2 2">
      <calculatedColumnFormula>$BN7*$AD$15</calculatedColumnFormula>
    </tableColumn>
    <tableColumn id="13" xr3:uid="{19C25296-29D8-4D07-BB3A-4D1CFBF3E8E7}" name="Columna13" totalsRowFunction="sum" dataDxfId="45" totalsRowDxfId="44" dataCellStyle="Normal 2 2">
      <calculatedColumnFormula>$BN7*$AD$16</calculatedColumnFormula>
    </tableColumn>
    <tableColumn id="14" xr3:uid="{5347F0B4-E654-4967-8C42-2CF8534B6500}" name="Columna14" totalsRowFunction="sum" dataDxfId="43" totalsRowDxfId="42" dataCellStyle="Normal 2 2">
      <calculatedColumnFormula>$BN7*$AD$17</calculatedColumnFormula>
    </tableColumn>
    <tableColumn id="15" xr3:uid="{33A0652E-F5DB-4CB1-87F0-8359EB24BEE9}" name="Columna15" totalsRowFunction="sum" dataDxfId="41" totalsRowDxfId="40" dataCellStyle="Normal 2 2">
      <calculatedColumnFormula>$BN7*$AD$18</calculatedColumnFormula>
    </tableColumn>
    <tableColumn id="16" xr3:uid="{66869FB8-00C3-42CF-8706-DF08EAFB2B1E}" name="Columna16" totalsRowFunction="sum" dataDxfId="39" totalsRowDxfId="38" dataCellStyle="Normal 2 2">
      <calculatedColumnFormula>$BN7*$AD$19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Relationship Id="rId1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E17EB-6A81-433E-9556-423F43725220}">
  <sheetPr>
    <tabColor theme="8" tint="-0.499984740745262"/>
  </sheetPr>
  <dimension ref="E4:M29"/>
  <sheetViews>
    <sheetView showGridLines="0" showRowColHeaders="0" tabSelected="1" workbookViewId="0">
      <selection activeCell="D2" sqref="D2"/>
    </sheetView>
  </sheetViews>
  <sheetFormatPr baseColWidth="10" defaultRowHeight="14.4" x14ac:dyDescent="0.3"/>
  <cols>
    <col min="1" max="10" width="11.5546875" style="256"/>
    <col min="11" max="11" width="11.5546875" style="256" customWidth="1"/>
    <col min="12" max="16384" width="11.5546875" style="256"/>
  </cols>
  <sheetData>
    <row r="4" spans="5:13" ht="21" x14ac:dyDescent="0.4">
      <c r="E4" s="547" t="s">
        <v>633</v>
      </c>
      <c r="L4" s="547" t="s">
        <v>637</v>
      </c>
    </row>
    <row r="5" spans="5:13" ht="15.6" x14ac:dyDescent="0.3">
      <c r="E5" s="548" t="str">
        <f>Inversionista!C2</f>
        <v>Flujo del Inversionista y del Proyecto</v>
      </c>
      <c r="F5" s="549"/>
      <c r="G5" s="549"/>
      <c r="H5" s="549"/>
      <c r="I5" s="549"/>
      <c r="J5" s="549"/>
      <c r="K5" s="549"/>
      <c r="L5" s="546" t="str">
        <f>Parámetros!GL2</f>
        <v>FLUJO DE CAJA AÑO 1</v>
      </c>
    </row>
    <row r="7" spans="5:13" ht="15.6" x14ac:dyDescent="0.3">
      <c r="E7" s="546" t="str">
        <f>Inversionista!C57</f>
        <v>Gráfico de Evolución de Resultados</v>
      </c>
      <c r="F7" s="549"/>
      <c r="G7" s="549"/>
      <c r="H7" s="549"/>
      <c r="I7" s="549"/>
      <c r="J7" s="549"/>
      <c r="K7" s="549"/>
      <c r="L7" s="546" t="s">
        <v>859</v>
      </c>
      <c r="M7" s="549"/>
    </row>
    <row r="8" spans="5:13" ht="15.6" x14ac:dyDescent="0.3">
      <c r="M8" s="549"/>
    </row>
    <row r="9" spans="5:13" ht="15.6" x14ac:dyDescent="0.3">
      <c r="E9" s="546" t="str">
        <f>Inversionista!C81</f>
        <v>PRESUPUESTO a 5 AÑOS - RESUMEN EJECUTIVO</v>
      </c>
      <c r="F9" s="549"/>
      <c r="G9" s="549"/>
      <c r="H9" s="549"/>
      <c r="I9" s="549"/>
      <c r="J9" s="549"/>
      <c r="K9" s="549"/>
      <c r="L9" s="549"/>
      <c r="M9" s="549"/>
    </row>
    <row r="10" spans="5:13" ht="15.6" x14ac:dyDescent="0.3">
      <c r="E10" s="549"/>
      <c r="F10" s="549"/>
      <c r="G10" s="549"/>
      <c r="H10" s="549"/>
      <c r="I10" s="549"/>
      <c r="J10" s="549"/>
      <c r="K10" s="549"/>
      <c r="L10" s="549"/>
      <c r="M10" s="549"/>
    </row>
    <row r="11" spans="5:13" ht="21" x14ac:dyDescent="0.4">
      <c r="E11" s="547" t="s">
        <v>634</v>
      </c>
      <c r="F11" s="549"/>
      <c r="G11" s="549"/>
      <c r="H11" s="549"/>
      <c r="I11" s="549"/>
      <c r="J11" s="549"/>
      <c r="K11" s="549"/>
      <c r="L11" s="547" t="s">
        <v>636</v>
      </c>
      <c r="M11" s="549"/>
    </row>
    <row r="12" spans="5:13" ht="15.6" x14ac:dyDescent="0.3">
      <c r="E12" s="546" t="str">
        <f>Parámetros!B2</f>
        <v>Parámetros Generales del Proyecto Empresarial</v>
      </c>
      <c r="F12" s="549"/>
      <c r="G12" s="549"/>
      <c r="H12" s="549"/>
      <c r="I12" s="549"/>
      <c r="J12" s="549"/>
      <c r="K12" s="549"/>
      <c r="L12" s="546" t="str">
        <f>Parámetros!HD2</f>
        <v>CHECK LIST DE INSUMOS A INVERTIR</v>
      </c>
      <c r="M12" s="549"/>
    </row>
    <row r="13" spans="5:13" ht="15.6" x14ac:dyDescent="0.3">
      <c r="M13" s="549"/>
    </row>
    <row r="14" spans="5:13" ht="15.6" x14ac:dyDescent="0.3">
      <c r="E14" s="546" t="str">
        <f>Parámetros!X2</f>
        <v>Escenario de Proyección de Ventas para Apertura - CALCULO DE INGRESOS</v>
      </c>
      <c r="F14" s="549"/>
      <c r="G14" s="549"/>
      <c r="H14" s="549"/>
      <c r="I14" s="549"/>
      <c r="J14" s="549"/>
      <c r="K14" s="549"/>
      <c r="L14" s="546" t="str">
        <f>Parámetros!HM2</f>
        <v>PUNTO DE EQUILIBRIO</v>
      </c>
      <c r="M14" s="549"/>
    </row>
    <row r="15" spans="5:13" ht="15.6" x14ac:dyDescent="0.3">
      <c r="M15" s="549"/>
    </row>
    <row r="16" spans="5:13" ht="15.6" x14ac:dyDescent="0.3">
      <c r="E16" s="546" t="str">
        <f>Parámetros!AM2</f>
        <v>Análisis Histórico de Ventas para Modelar el nuevo Punto de Ventas</v>
      </c>
      <c r="F16" s="549"/>
      <c r="G16" s="549"/>
      <c r="H16" s="549"/>
      <c r="I16" s="549"/>
      <c r="J16" s="549"/>
      <c r="K16" s="549"/>
      <c r="L16" s="549"/>
      <c r="M16" s="549"/>
    </row>
    <row r="17" spans="5:13" ht="15.6" x14ac:dyDescent="0.3">
      <c r="E17" s="549"/>
      <c r="F17" s="549"/>
      <c r="G17" s="549"/>
      <c r="H17" s="549"/>
      <c r="I17" s="549"/>
      <c r="J17" s="549"/>
      <c r="K17" s="549"/>
      <c r="L17" s="549"/>
      <c r="M17" s="549"/>
    </row>
    <row r="18" spans="5:13" ht="21" x14ac:dyDescent="0.4">
      <c r="E18" s="547" t="s">
        <v>635</v>
      </c>
      <c r="F18" s="549"/>
      <c r="G18" s="549"/>
      <c r="H18" s="549"/>
      <c r="I18" s="549"/>
      <c r="J18" s="549"/>
      <c r="K18" s="549"/>
      <c r="L18" s="547" t="s">
        <v>638</v>
      </c>
      <c r="M18" s="549"/>
    </row>
    <row r="19" spans="5:13" ht="15.6" x14ac:dyDescent="0.3">
      <c r="E19" s="546" t="str">
        <f>Parámetros!AY2</f>
        <v>Crecimiento Anual Proyectado</v>
      </c>
      <c r="F19" s="549"/>
      <c r="G19" s="549"/>
      <c r="H19" s="549"/>
      <c r="I19" s="549"/>
      <c r="J19" s="549"/>
      <c r="K19" s="549"/>
      <c r="L19" s="546" t="str">
        <f>Parámetros!FE29</f>
        <v>PRESUPUESTO AÑO 1 - DESGLOSADO</v>
      </c>
      <c r="M19" s="549"/>
    </row>
    <row r="20" spans="5:13" ht="15.6" x14ac:dyDescent="0.3">
      <c r="M20" s="549"/>
    </row>
    <row r="21" spans="5:13" ht="15.6" x14ac:dyDescent="0.3">
      <c r="E21" s="546" t="str">
        <f>Parámetros!BO2</f>
        <v>¿QUE VAMOS A VENDER? - COMPORTAMIENTO AÑO 1</v>
      </c>
      <c r="F21" s="549"/>
      <c r="G21" s="549"/>
      <c r="H21" s="549"/>
      <c r="I21" s="549"/>
      <c r="J21" s="549"/>
      <c r="K21" s="549"/>
      <c r="L21" s="546" t="str">
        <f>Parámetros!FE2</f>
        <v>PRESUPUESTO AÑO 1 - RESUMEN EJECUTIVO</v>
      </c>
      <c r="M21" s="549"/>
    </row>
    <row r="22" spans="5:13" ht="15.6" x14ac:dyDescent="0.3">
      <c r="M22" s="549"/>
    </row>
    <row r="23" spans="5:13" ht="15.6" x14ac:dyDescent="0.3">
      <c r="E23" s="546" t="str">
        <f>Parámetros!CI2</f>
        <v>¿QUE VAMOS A VENDER? - COMPORTAMIENTO AÑO 2</v>
      </c>
      <c r="F23" s="549"/>
      <c r="G23" s="549"/>
      <c r="H23" s="549"/>
      <c r="I23" s="549"/>
      <c r="J23" s="549"/>
      <c r="K23" s="549"/>
      <c r="L23" s="546" t="str">
        <f>Parámetros!FV2</f>
        <v>PRESUPUESTO AÑO 2 - RESUMEN EJECUTIVO</v>
      </c>
      <c r="M23" s="549"/>
    </row>
    <row r="24" spans="5:13" ht="15.6" x14ac:dyDescent="0.3">
      <c r="M24" s="549"/>
    </row>
    <row r="25" spans="5:13" ht="15.6" x14ac:dyDescent="0.3">
      <c r="E25" s="546" t="str">
        <f>Parámetros!DC2</f>
        <v>¿QUE VAMOS A VENDER? - COMPORTAMIENTO AÑO 3</v>
      </c>
      <c r="F25" s="549"/>
      <c r="G25" s="549"/>
      <c r="H25" s="549"/>
      <c r="I25" s="549"/>
      <c r="J25" s="549"/>
      <c r="K25" s="549"/>
      <c r="L25" s="546" t="str">
        <f>Parámetros!FV33</f>
        <v>PRESUPUESTO AÑO 3 - RESUMEN EJECUTIVO</v>
      </c>
      <c r="M25" s="549"/>
    </row>
    <row r="26" spans="5:13" ht="15.6" x14ac:dyDescent="0.3">
      <c r="M26" s="549"/>
    </row>
    <row r="27" spans="5:13" ht="15.6" x14ac:dyDescent="0.3">
      <c r="E27" s="546" t="str">
        <f>Parámetros!DW2</f>
        <v>¿QUE VAMOS A VENDER? - COMPORTAMIENTO AÑO 4</v>
      </c>
      <c r="F27" s="549"/>
      <c r="G27" s="549"/>
      <c r="H27" s="549"/>
      <c r="I27" s="549"/>
      <c r="J27" s="549"/>
      <c r="K27" s="549"/>
      <c r="L27" s="546" t="str">
        <f>Parámetros!FV64</f>
        <v>PRESUPUESTO AÑO 4 - RESUMEN EJECUTIVO</v>
      </c>
      <c r="M27" s="549"/>
    </row>
    <row r="28" spans="5:13" ht="15.6" x14ac:dyDescent="0.3">
      <c r="M28" s="549"/>
    </row>
    <row r="29" spans="5:13" ht="15.6" x14ac:dyDescent="0.3">
      <c r="E29" s="546" t="str">
        <f>Parámetros!EQ2</f>
        <v>¿QUE VAMOS A VENDER? - COMPORTAMIENTO AÑO 5</v>
      </c>
      <c r="F29" s="549"/>
      <c r="G29" s="549"/>
      <c r="H29" s="549"/>
      <c r="I29" s="549"/>
      <c r="J29" s="549"/>
      <c r="K29" s="549"/>
      <c r="L29" s="546" t="str">
        <f>Parámetros!FV95</f>
        <v>PRESUPUESTO AÑO 5 - RESUMEN EJECUTIVO</v>
      </c>
    </row>
  </sheetData>
  <sheetProtection algorithmName="SHA-512" hashValue="O5yxfXhQl1BBnNteMEK4TBqR2GaCbaqqa+gEk0C/bnPQTzGvbO9EOLqyawdv0zhKMsJ0yTeuAiKe6RONiIFDPw==" saltValue="JxTWNloafoeCv6NM6Bp24A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C25E-4100-48F2-B36A-9EA3D4AF8D92}">
  <sheetPr>
    <tabColor theme="6"/>
  </sheetPr>
  <dimension ref="B1:W122"/>
  <sheetViews>
    <sheetView showGridLines="0" showRowColHeaders="0" topLeftCell="B1" zoomScaleNormal="100" workbookViewId="0">
      <selection activeCell="C1" sqref="C1"/>
    </sheetView>
  </sheetViews>
  <sheetFormatPr baseColWidth="10" defaultRowHeight="14.4" x14ac:dyDescent="0.3"/>
  <cols>
    <col min="3" max="3" width="29.5546875" customWidth="1"/>
    <col min="4" max="4" width="14" customWidth="1"/>
    <col min="13" max="15" width="12.109375" customWidth="1"/>
  </cols>
  <sheetData>
    <row r="1" spans="2:15" x14ac:dyDescent="0.3">
      <c r="C1" s="494"/>
    </row>
    <row r="2" spans="2:15" ht="14.4" customHeight="1" x14ac:dyDescent="0.3">
      <c r="C2" s="497" t="s">
        <v>729</v>
      </c>
      <c r="D2" s="497"/>
      <c r="E2" s="497"/>
      <c r="F2" s="497"/>
      <c r="G2" s="497"/>
      <c r="H2" s="497"/>
      <c r="I2" s="497"/>
      <c r="J2" s="497"/>
      <c r="K2" s="497"/>
      <c r="L2" s="211"/>
      <c r="M2" s="211"/>
      <c r="N2" s="211"/>
      <c r="O2" s="211"/>
    </row>
    <row r="3" spans="2:15" ht="14.4" customHeight="1" x14ac:dyDescent="0.3">
      <c r="C3" s="497"/>
      <c r="D3" s="497"/>
      <c r="E3" s="497"/>
      <c r="F3" s="497"/>
      <c r="G3" s="497"/>
      <c r="H3" s="497"/>
      <c r="I3" s="497"/>
      <c r="J3" s="497"/>
      <c r="K3" s="497"/>
      <c r="L3" s="211"/>
      <c r="M3" s="211"/>
      <c r="N3" s="211"/>
      <c r="O3" s="211"/>
    </row>
    <row r="4" spans="2:15" ht="14.4" customHeight="1" x14ac:dyDescent="0.3">
      <c r="D4" s="2"/>
      <c r="E4" s="128"/>
      <c r="F4" s="128"/>
      <c r="G4" s="128"/>
      <c r="H4" s="128"/>
      <c r="I4" s="128"/>
      <c r="J4" s="44"/>
    </row>
    <row r="5" spans="2:15" ht="18" x14ac:dyDescent="0.35">
      <c r="B5" s="212"/>
      <c r="C5" s="213" t="s">
        <v>730</v>
      </c>
      <c r="D5" s="123"/>
      <c r="E5" s="214" t="s">
        <v>379</v>
      </c>
      <c r="F5" s="214" t="s">
        <v>297</v>
      </c>
      <c r="G5" s="214" t="s">
        <v>446</v>
      </c>
      <c r="H5" s="214" t="s">
        <v>447</v>
      </c>
      <c r="I5" s="214" t="s">
        <v>448</v>
      </c>
      <c r="J5" s="215"/>
      <c r="K5" s="216"/>
    </row>
    <row r="6" spans="2:15" x14ac:dyDescent="0.3">
      <c r="B6" s="217"/>
      <c r="C6" s="134" t="s">
        <v>639</v>
      </c>
      <c r="D6" s="134"/>
      <c r="E6" s="135">
        <f>'Flujo Operativo'!E61</f>
        <v>0</v>
      </c>
      <c r="F6" s="135" t="e">
        <f>'Flujo Operativo'!F61</f>
        <v>#DIV/0!</v>
      </c>
      <c r="G6" s="135" t="e">
        <f>'Flujo Operativo'!G61</f>
        <v>#DIV/0!</v>
      </c>
      <c r="H6" s="135" t="e">
        <f>'Flujo Operativo'!H61</f>
        <v>#DIV/0!</v>
      </c>
      <c r="I6" s="135" t="e">
        <f>'Flujo Operativo'!I61</f>
        <v>#DIV/0!</v>
      </c>
      <c r="J6" s="176" t="e">
        <f>SUM(E6:I6)</f>
        <v>#DIV/0!</v>
      </c>
      <c r="K6" s="218" t="e">
        <f>J6/$J$17</f>
        <v>#DIV/0!</v>
      </c>
    </row>
    <row r="7" spans="2:15" x14ac:dyDescent="0.3">
      <c r="B7" s="217"/>
      <c r="C7" s="134" t="s">
        <v>625</v>
      </c>
      <c r="D7" s="134"/>
      <c r="E7" s="135">
        <f>E112</f>
        <v>0</v>
      </c>
      <c r="F7" s="135">
        <f>F112</f>
        <v>0</v>
      </c>
      <c r="G7" s="135">
        <f>G112</f>
        <v>0</v>
      </c>
      <c r="H7" s="135">
        <f>H112</f>
        <v>0</v>
      </c>
      <c r="I7" s="135">
        <f>I112</f>
        <v>0</v>
      </c>
      <c r="J7" s="176">
        <f>SUM(E7:I7)</f>
        <v>0</v>
      </c>
      <c r="K7" s="218" t="e">
        <f>J7/$J$17</f>
        <v>#DIV/0!</v>
      </c>
    </row>
    <row r="8" spans="2:15" x14ac:dyDescent="0.3">
      <c r="B8" s="219">
        <v>0</v>
      </c>
      <c r="C8" s="172" t="s">
        <v>640</v>
      </c>
      <c r="D8" s="172"/>
      <c r="E8" s="171">
        <f>E7+E6</f>
        <v>0</v>
      </c>
      <c r="F8" s="171" t="e">
        <f t="shared" ref="F8:I8" si="0">F7+F6</f>
        <v>#DIV/0!</v>
      </c>
      <c r="G8" s="171" t="e">
        <f t="shared" si="0"/>
        <v>#DIV/0!</v>
      </c>
      <c r="H8" s="171" t="e">
        <f t="shared" si="0"/>
        <v>#DIV/0!</v>
      </c>
      <c r="I8" s="171" t="e">
        <f t="shared" si="0"/>
        <v>#DIV/0!</v>
      </c>
      <c r="J8" s="177" t="e">
        <f>SUM(E8:I8)</f>
        <v>#DIV/0!</v>
      </c>
      <c r="K8" s="218" t="e">
        <f>J8/$J$17</f>
        <v>#DIV/0!</v>
      </c>
    </row>
    <row r="9" spans="2:15" x14ac:dyDescent="0.3">
      <c r="B9" s="217"/>
      <c r="C9" s="172" t="s">
        <v>689</v>
      </c>
      <c r="D9" s="172"/>
      <c r="E9" s="169"/>
      <c r="F9" s="170" t="e">
        <f>+F6/E6-1</f>
        <v>#DIV/0!</v>
      </c>
      <c r="G9" s="170" t="e">
        <f>+G6/F6-1</f>
        <v>#DIV/0!</v>
      </c>
      <c r="H9" s="170" t="e">
        <f t="shared" ref="H9" si="1">+H6/G6-1</f>
        <v>#DIV/0!</v>
      </c>
      <c r="I9" s="170" t="e">
        <f>+I6/H6-1</f>
        <v>#DIV/0!</v>
      </c>
      <c r="K9" s="220"/>
    </row>
    <row r="10" spans="2:15" x14ac:dyDescent="0.3">
      <c r="B10" s="221"/>
      <c r="C10" s="123" t="s">
        <v>713</v>
      </c>
      <c r="D10" s="129"/>
      <c r="E10" s="124">
        <f>+E8+D111+E111</f>
        <v>0</v>
      </c>
      <c r="F10" s="124" t="e">
        <f>+F8+E10+F111</f>
        <v>#DIV/0!</v>
      </c>
      <c r="G10" s="124" t="e">
        <f>+G8+F10+G111</f>
        <v>#DIV/0!</v>
      </c>
      <c r="H10" s="124" t="e">
        <f>+H8+G10+H111</f>
        <v>#DIV/0!</v>
      </c>
      <c r="I10" s="124" t="e">
        <f>+I8+H10+I111</f>
        <v>#DIV/0!</v>
      </c>
      <c r="J10" s="176" t="e">
        <f>SUM(E10:I10)</f>
        <v>#DIV/0!</v>
      </c>
      <c r="K10" s="220"/>
    </row>
    <row r="11" spans="2:15" x14ac:dyDescent="0.3">
      <c r="B11" s="221"/>
      <c r="C11" s="116" t="s">
        <v>686</v>
      </c>
      <c r="D11" s="128"/>
      <c r="E11" s="126" t="e">
        <f>+E8/($D$111*-1)</f>
        <v>#DIV/0!</v>
      </c>
      <c r="F11" s="126" t="e">
        <f>+F8/($D$111*-1)</f>
        <v>#DIV/0!</v>
      </c>
      <c r="G11" s="126" t="e">
        <f>+G8/($D$111*-1)</f>
        <v>#DIV/0!</v>
      </c>
      <c r="H11" s="126" t="e">
        <f>+H8/($D$111*-1)</f>
        <v>#DIV/0!</v>
      </c>
      <c r="I11" s="126" t="e">
        <f>+I8/($D$111*-1)</f>
        <v>#DIV/0!</v>
      </c>
      <c r="J11" s="238" t="e">
        <f>SUM(D11:I11)</f>
        <v>#DIV/0!</v>
      </c>
      <c r="K11" s="220"/>
    </row>
    <row r="12" spans="2:15" x14ac:dyDescent="0.3">
      <c r="B12" s="221"/>
      <c r="C12" s="222" t="s">
        <v>655</v>
      </c>
      <c r="D12" s="223"/>
      <c r="E12" s="224"/>
      <c r="F12" s="224"/>
      <c r="G12" s="224"/>
      <c r="H12" s="224"/>
      <c r="I12" s="239" t="e">
        <f>(+I10/D111/5)*-1</f>
        <v>#DIV/0!</v>
      </c>
      <c r="K12" s="220"/>
    </row>
    <row r="13" spans="2:15" x14ac:dyDescent="0.3">
      <c r="B13" s="221"/>
      <c r="C13" s="225" t="s">
        <v>628</v>
      </c>
      <c r="E13" s="126" t="e">
        <f t="shared" ref="E13:I13" si="2">+E8/E17</f>
        <v>#DIV/0!</v>
      </c>
      <c r="F13" s="126" t="e">
        <f t="shared" si="2"/>
        <v>#DIV/0!</v>
      </c>
      <c r="G13" s="126" t="e">
        <f t="shared" si="2"/>
        <v>#DIV/0!</v>
      </c>
      <c r="H13" s="126" t="e">
        <f t="shared" si="2"/>
        <v>#DIV/0!</v>
      </c>
      <c r="I13" s="126" t="e">
        <f t="shared" si="2"/>
        <v>#DIV/0!</v>
      </c>
      <c r="J13" s="226"/>
      <c r="K13" s="220"/>
    </row>
    <row r="14" spans="2:15" x14ac:dyDescent="0.3">
      <c r="B14" s="227"/>
      <c r="C14" s="228" t="s">
        <v>687</v>
      </c>
      <c r="D14" s="229"/>
      <c r="E14" s="230" t="e">
        <f>IRR('Flujo Operativo'!E14:J14)</f>
        <v>#VALUE!</v>
      </c>
      <c r="F14" s="229"/>
      <c r="G14" s="229"/>
      <c r="H14" s="229"/>
      <c r="I14" s="229"/>
      <c r="J14" s="229"/>
      <c r="K14" s="231"/>
    </row>
    <row r="16" spans="2:15" s="116" customFormat="1" ht="18" x14ac:dyDescent="0.35">
      <c r="C16" s="133" t="s">
        <v>732</v>
      </c>
      <c r="E16" s="168" t="s">
        <v>379</v>
      </c>
      <c r="F16" s="168" t="s">
        <v>297</v>
      </c>
      <c r="G16" s="168" t="s">
        <v>446</v>
      </c>
      <c r="H16" s="168" t="s">
        <v>447</v>
      </c>
      <c r="I16" s="168" t="s">
        <v>448</v>
      </c>
      <c r="J16" s="175"/>
      <c r="M16"/>
      <c r="N16"/>
    </row>
    <row r="17" spans="3:14" s="116" customFormat="1" x14ac:dyDescent="0.3">
      <c r="C17" s="123" t="s">
        <v>626</v>
      </c>
      <c r="D17" s="123"/>
      <c r="E17" s="124">
        <f>'Flujo Operativo'!F8</f>
        <v>0</v>
      </c>
      <c r="F17" s="124" t="e">
        <f>'Flujo Operativo'!G8</f>
        <v>#DIV/0!</v>
      </c>
      <c r="G17" s="124" t="e">
        <f>'Flujo Operativo'!H8</f>
        <v>#DIV/0!</v>
      </c>
      <c r="H17" s="124" t="e">
        <f>'Flujo Operativo'!I8</f>
        <v>#DIV/0!</v>
      </c>
      <c r="I17" s="124" t="e">
        <f>'Flujo Operativo'!J8</f>
        <v>#DIV/0!</v>
      </c>
      <c r="J17" s="176" t="e">
        <f>SUM(E17:I17)</f>
        <v>#DIV/0!</v>
      </c>
      <c r="M17"/>
      <c r="N17"/>
    </row>
    <row r="18" spans="3:14" s="116" customFormat="1" x14ac:dyDescent="0.3">
      <c r="C18" s="172" t="s">
        <v>677</v>
      </c>
      <c r="D18" s="172"/>
      <c r="E18" s="171" t="e">
        <f>'Flujo Operativo'!F9</f>
        <v>#DIV/0!</v>
      </c>
      <c r="F18" s="171" t="e">
        <f>'Flujo Operativo'!G9</f>
        <v>#DIV/0!</v>
      </c>
      <c r="G18" s="171" t="e">
        <f>'Flujo Operativo'!H9</f>
        <v>#DIV/0!</v>
      </c>
      <c r="H18" s="171" t="e">
        <f>'Flujo Operativo'!I9</f>
        <v>#DIV/0!</v>
      </c>
      <c r="I18" s="171" t="e">
        <f>'Flujo Operativo'!J9</f>
        <v>#DIV/0!</v>
      </c>
      <c r="J18" s="177" t="e">
        <f>SUM(E18:I18)</f>
        <v>#DIV/0!</v>
      </c>
      <c r="M18"/>
      <c r="N18"/>
    </row>
    <row r="19" spans="3:14" s="116" customFormat="1" x14ac:dyDescent="0.3">
      <c r="C19" s="123" t="s">
        <v>678</v>
      </c>
      <c r="D19" s="123"/>
      <c r="E19" s="124" t="e">
        <f>'Flujo Operativo'!F10</f>
        <v>#DIV/0!</v>
      </c>
      <c r="F19" s="124" t="e">
        <f>'Flujo Operativo'!G10</f>
        <v>#DIV/0!</v>
      </c>
      <c r="G19" s="124" t="e">
        <f>'Flujo Operativo'!H10</f>
        <v>#DIV/0!</v>
      </c>
      <c r="H19" s="124" t="e">
        <f>'Flujo Operativo'!I10</f>
        <v>#DIV/0!</v>
      </c>
      <c r="I19" s="124" t="e">
        <f>'Flujo Operativo'!J10</f>
        <v>#DIV/0!</v>
      </c>
      <c r="J19" s="176" t="e">
        <f>SUM(E19:I19)</f>
        <v>#DIV/0!</v>
      </c>
      <c r="M19"/>
      <c r="N19"/>
    </row>
    <row r="20" spans="3:14" s="116" customFormat="1" x14ac:dyDescent="0.3">
      <c r="C20" s="172" t="s">
        <v>264</v>
      </c>
      <c r="D20" s="172"/>
      <c r="E20" s="171" t="e">
        <f>'Flujo Operativo'!F11</f>
        <v>#DIV/0!</v>
      </c>
      <c r="F20" s="171" t="e">
        <f>'Flujo Operativo'!G11</f>
        <v>#DIV/0!</v>
      </c>
      <c r="G20" s="171" t="e">
        <f>'Flujo Operativo'!H11</f>
        <v>#DIV/0!</v>
      </c>
      <c r="H20" s="171" t="e">
        <f>'Flujo Operativo'!I11</f>
        <v>#DIV/0!</v>
      </c>
      <c r="I20" s="171" t="e">
        <f>'Flujo Operativo'!J11</f>
        <v>#DIV/0!</v>
      </c>
      <c r="J20" s="177" t="e">
        <f>SUM(E20:I20)</f>
        <v>#DIV/0!</v>
      </c>
      <c r="M20"/>
      <c r="N20"/>
    </row>
    <row r="21" spans="3:14" x14ac:dyDescent="0.3">
      <c r="C21" s="173" t="s">
        <v>716</v>
      </c>
      <c r="D21" s="174">
        <f>'Flujo Operativo'!E12</f>
        <v>0</v>
      </c>
      <c r="E21" s="125"/>
      <c r="F21" s="125"/>
      <c r="G21" s="126"/>
      <c r="H21" s="126"/>
      <c r="I21" s="127"/>
      <c r="J21" s="178"/>
    </row>
    <row r="22" spans="3:14" x14ac:dyDescent="0.3">
      <c r="C22" s="172" t="s">
        <v>627</v>
      </c>
      <c r="D22" s="198">
        <f>D21*-1</f>
        <v>0</v>
      </c>
      <c r="E22" s="171" t="e">
        <f>'Flujo Operativo'!F12</f>
        <v>#DIV/0!</v>
      </c>
      <c r="F22" s="171" t="e">
        <f>'Flujo Operativo'!G12</f>
        <v>#DIV/0!</v>
      </c>
      <c r="G22" s="171" t="e">
        <f>'Flujo Operativo'!H12</f>
        <v>#DIV/0!</v>
      </c>
      <c r="H22" s="171" t="e">
        <f>'Flujo Operativo'!I12</f>
        <v>#DIV/0!</v>
      </c>
      <c r="I22" s="171" t="e">
        <f>'Flujo Operativo'!J12</f>
        <v>#DIV/0!</v>
      </c>
      <c r="J22" s="177" t="e">
        <f>SUM(E22:I22)</f>
        <v>#DIV/0!</v>
      </c>
    </row>
    <row r="23" spans="3:14" x14ac:dyDescent="0.3">
      <c r="C23" s="123" t="s">
        <v>734</v>
      </c>
      <c r="D23" s="129"/>
      <c r="E23" s="124" t="e">
        <f>'Flujo Operativo'!F19</f>
        <v>#DIV/0!</v>
      </c>
      <c r="F23" s="124" t="e">
        <f>'Flujo Operativo'!G19</f>
        <v>#DIV/0!</v>
      </c>
      <c r="G23" s="124" t="e">
        <f>'Flujo Operativo'!H19</f>
        <v>#DIV/0!</v>
      </c>
      <c r="H23" s="124" t="e">
        <f>'Flujo Operativo'!I19</f>
        <v>#DIV/0!</v>
      </c>
      <c r="I23" s="124" t="e">
        <f>'Flujo Operativo'!J19</f>
        <v>#DIV/0!</v>
      </c>
      <c r="J23" s="176"/>
    </row>
    <row r="24" spans="3:14" ht="7.2" customHeight="1" x14ac:dyDescent="0.3">
      <c r="C24" s="116"/>
      <c r="E24" s="157"/>
      <c r="F24" s="157"/>
      <c r="G24" s="157"/>
      <c r="H24" s="157"/>
      <c r="I24" s="157"/>
      <c r="J24" s="176"/>
    </row>
    <row r="25" spans="3:14" x14ac:dyDescent="0.3">
      <c r="C25" s="44" t="s">
        <v>250</v>
      </c>
      <c r="D25" s="157" t="e">
        <f>J25</f>
        <v>#DIV/0!</v>
      </c>
      <c r="E25" s="157" t="e">
        <f>Parámetros!$FR$17</f>
        <v>#DIV/0!</v>
      </c>
      <c r="F25" s="157" t="e">
        <f>Parámetros!$GI$17</f>
        <v>#DIV/0!</v>
      </c>
      <c r="G25" s="157" t="e">
        <f>Parámetros!$GI$48</f>
        <v>#DIV/0!</v>
      </c>
      <c r="H25" s="157" t="e">
        <f>Parámetros!$GI$79</f>
        <v>#DIV/0!</v>
      </c>
      <c r="I25" s="157" t="e">
        <f>Parámetros!$GI$110</f>
        <v>#DIV/0!</v>
      </c>
      <c r="J25" s="176" t="e">
        <f>SUM(E25:I25)</f>
        <v>#DIV/0!</v>
      </c>
    </row>
    <row r="26" spans="3:14" x14ac:dyDescent="0.3">
      <c r="C26" s="44" t="s">
        <v>717</v>
      </c>
      <c r="D26" s="157" t="e">
        <f>'Flujo Operativo'!E20</f>
        <v>#DIV/0!</v>
      </c>
    </row>
    <row r="27" spans="3:14" x14ac:dyDescent="0.3">
      <c r="C27" s="44" t="s">
        <v>687</v>
      </c>
      <c r="D27" s="206" t="s">
        <v>357</v>
      </c>
    </row>
    <row r="28" spans="3:14" x14ac:dyDescent="0.3">
      <c r="C28" s="44" t="s">
        <v>731</v>
      </c>
      <c r="D28" s="175">
        <v>0.1</v>
      </c>
      <c r="E28" s="116" t="s">
        <v>735</v>
      </c>
    </row>
    <row r="30" spans="3:14" s="116" customFormat="1" ht="18" x14ac:dyDescent="0.35">
      <c r="C30" s="133" t="s">
        <v>728</v>
      </c>
      <c r="E30" s="168" t="s">
        <v>379</v>
      </c>
      <c r="F30" s="168" t="s">
        <v>297</v>
      </c>
      <c r="G30" s="168" t="s">
        <v>446</v>
      </c>
      <c r="H30" s="168" t="s">
        <v>447</v>
      </c>
      <c r="I30" s="168" t="s">
        <v>448</v>
      </c>
      <c r="J30" s="175"/>
      <c r="M30"/>
      <c r="N30"/>
    </row>
    <row r="31" spans="3:14" s="116" customFormat="1" x14ac:dyDescent="0.3">
      <c r="C31" s="123" t="s">
        <v>626</v>
      </c>
      <c r="D31" s="123"/>
      <c r="E31" s="124">
        <f>E17</f>
        <v>0</v>
      </c>
      <c r="F31" s="124" t="e">
        <f t="shared" ref="F31:I31" si="3">F17</f>
        <v>#DIV/0!</v>
      </c>
      <c r="G31" s="124" t="e">
        <f t="shared" si="3"/>
        <v>#DIV/0!</v>
      </c>
      <c r="H31" s="124" t="e">
        <f t="shared" si="3"/>
        <v>#DIV/0!</v>
      </c>
      <c r="I31" s="124" t="e">
        <f t="shared" si="3"/>
        <v>#DIV/0!</v>
      </c>
      <c r="J31" s="176" t="e">
        <f>SUM(E31:I31)</f>
        <v>#DIV/0!</v>
      </c>
      <c r="M31"/>
      <c r="N31"/>
    </row>
    <row r="32" spans="3:14" s="116" customFormat="1" x14ac:dyDescent="0.3">
      <c r="C32" s="172" t="s">
        <v>677</v>
      </c>
      <c r="D32" s="172"/>
      <c r="E32" s="171" t="e">
        <f>E18</f>
        <v>#DIV/0!</v>
      </c>
      <c r="F32" s="171" t="e">
        <f t="shared" ref="F32:I32" si="4">F18</f>
        <v>#DIV/0!</v>
      </c>
      <c r="G32" s="171" t="e">
        <f t="shared" si="4"/>
        <v>#DIV/0!</v>
      </c>
      <c r="H32" s="171" t="e">
        <f t="shared" si="4"/>
        <v>#DIV/0!</v>
      </c>
      <c r="I32" s="171" t="e">
        <f t="shared" si="4"/>
        <v>#DIV/0!</v>
      </c>
      <c r="J32" s="177" t="e">
        <f>SUM(E32:I32)</f>
        <v>#DIV/0!</v>
      </c>
      <c r="M32"/>
      <c r="N32"/>
    </row>
    <row r="33" spans="3:14" s="116" customFormat="1" x14ac:dyDescent="0.3">
      <c r="C33" s="123" t="s">
        <v>678</v>
      </c>
      <c r="D33" s="123"/>
      <c r="E33" s="124" t="e">
        <f>E19</f>
        <v>#DIV/0!</v>
      </c>
      <c r="F33" s="124" t="e">
        <f t="shared" ref="F33:I33" si="5">F19</f>
        <v>#DIV/0!</v>
      </c>
      <c r="G33" s="124" t="e">
        <f t="shared" si="5"/>
        <v>#DIV/0!</v>
      </c>
      <c r="H33" s="124" t="e">
        <f t="shared" si="5"/>
        <v>#DIV/0!</v>
      </c>
      <c r="I33" s="124" t="e">
        <f t="shared" si="5"/>
        <v>#DIV/0!</v>
      </c>
      <c r="J33" s="176" t="e">
        <f>SUM(E33:I33)</f>
        <v>#DIV/0!</v>
      </c>
      <c r="M33"/>
      <c r="N33"/>
    </row>
    <row r="34" spans="3:14" s="116" customFormat="1" x14ac:dyDescent="0.3">
      <c r="C34" s="172" t="s">
        <v>264</v>
      </c>
      <c r="D34" s="172"/>
      <c r="E34" s="171" t="e">
        <f>E20</f>
        <v>#DIV/0!</v>
      </c>
      <c r="F34" s="171" t="e">
        <f t="shared" ref="F34:I34" si="6">F20</f>
        <v>#DIV/0!</v>
      </c>
      <c r="G34" s="171" t="e">
        <f t="shared" si="6"/>
        <v>#DIV/0!</v>
      </c>
      <c r="H34" s="171" t="e">
        <f t="shared" si="6"/>
        <v>#DIV/0!</v>
      </c>
      <c r="I34" s="171" t="e">
        <f t="shared" si="6"/>
        <v>#DIV/0!</v>
      </c>
      <c r="J34" s="177" t="e">
        <f>SUM(E34:I34)</f>
        <v>#DIV/0!</v>
      </c>
      <c r="M34"/>
      <c r="N34"/>
    </row>
    <row r="35" spans="3:14" x14ac:dyDescent="0.3">
      <c r="C35" s="173" t="s">
        <v>716</v>
      </c>
      <c r="D35" s="174">
        <f>'Flujo Operativo'!E13*-1</f>
        <v>0</v>
      </c>
      <c r="E35" s="125"/>
      <c r="F35" s="125"/>
      <c r="G35" s="125"/>
      <c r="H35" s="125"/>
      <c r="I35" s="125"/>
      <c r="J35" s="178"/>
    </row>
    <row r="36" spans="3:14" x14ac:dyDescent="0.3">
      <c r="C36" s="172" t="s">
        <v>627</v>
      </c>
      <c r="D36" s="198">
        <f>D35*-1</f>
        <v>0</v>
      </c>
      <c r="E36" s="171" t="e">
        <f>'Flujo Operativo'!F13</f>
        <v>#DIV/0!</v>
      </c>
      <c r="F36" s="171" t="e">
        <f>'Flujo Operativo'!G13</f>
        <v>#DIV/0!</v>
      </c>
      <c r="G36" s="171" t="e">
        <f>'Flujo Operativo'!H13</f>
        <v>#DIV/0!</v>
      </c>
      <c r="H36" s="171" t="e">
        <f>'Flujo Operativo'!I13</f>
        <v>#DIV/0!</v>
      </c>
      <c r="I36" s="171" t="e">
        <f>'Flujo Operativo'!J13</f>
        <v>#DIV/0!</v>
      </c>
      <c r="J36" s="177" t="e">
        <f>SUM(E36:I36)</f>
        <v>#DIV/0!</v>
      </c>
    </row>
    <row r="37" spans="3:14" x14ac:dyDescent="0.3">
      <c r="C37" s="123" t="s">
        <v>734</v>
      </c>
      <c r="D37" s="207">
        <f>D36</f>
        <v>0</v>
      </c>
      <c r="E37" s="124" t="e">
        <f>'Flujo Operativo'!F28</f>
        <v>#DIV/0!</v>
      </c>
      <c r="F37" s="124" t="e">
        <f>'Flujo Operativo'!G28</f>
        <v>#DIV/0!</v>
      </c>
      <c r="G37" s="124" t="e">
        <f>'Flujo Operativo'!H28</f>
        <v>#DIV/0!</v>
      </c>
      <c r="H37" s="124" t="e">
        <f>'Flujo Operativo'!I28</f>
        <v>#DIV/0!</v>
      </c>
      <c r="I37" s="124" t="e">
        <f>'Flujo Operativo'!J28</f>
        <v>#DIV/0!</v>
      </c>
      <c r="J37" s="176"/>
    </row>
    <row r="38" spans="3:14" ht="7.2" customHeight="1" x14ac:dyDescent="0.3">
      <c r="C38" s="116"/>
      <c r="E38" s="157"/>
      <c r="F38" s="157"/>
      <c r="G38" s="157"/>
      <c r="H38" s="157"/>
      <c r="I38" s="157"/>
      <c r="J38" s="176"/>
    </row>
    <row r="39" spans="3:14" x14ac:dyDescent="0.3">
      <c r="C39" s="44" t="s">
        <v>250</v>
      </c>
      <c r="D39" s="157" t="e">
        <f>J39</f>
        <v>#DIV/0!</v>
      </c>
      <c r="E39" s="157" t="e">
        <f>Parámetros!$FR$13</f>
        <v>#DIV/0!</v>
      </c>
      <c r="F39" s="157" t="e">
        <f>Parámetros!$GI$13</f>
        <v>#DIV/0!</v>
      </c>
      <c r="G39" s="157" t="e">
        <f>Parámetros!$GI$44</f>
        <v>#DIV/0!</v>
      </c>
      <c r="H39" s="157" t="e">
        <f>Parámetros!$GI$75</f>
        <v>#DIV/0!</v>
      </c>
      <c r="I39" s="157" t="e">
        <f>Parámetros!$GI$106</f>
        <v>#DIV/0!</v>
      </c>
      <c r="J39" s="176" t="e">
        <f>SUM(E39:I39)</f>
        <v>#DIV/0!</v>
      </c>
    </row>
    <row r="40" spans="3:14" x14ac:dyDescent="0.3">
      <c r="C40" s="44" t="s">
        <v>717</v>
      </c>
      <c r="D40" s="157" t="e">
        <f>'Flujo Operativo'!E29</f>
        <v>#DIV/0!</v>
      </c>
    </row>
    <row r="41" spans="3:14" x14ac:dyDescent="0.3">
      <c r="C41" s="44" t="s">
        <v>687</v>
      </c>
      <c r="D41" s="206" t="e">
        <f>'Flujo Operativo'!E31</f>
        <v>#VALUE!</v>
      </c>
    </row>
    <row r="42" spans="3:14" x14ac:dyDescent="0.3">
      <c r="C42" s="44" t="s">
        <v>731</v>
      </c>
      <c r="D42" s="175">
        <f>'Flujo Operativo'!E32</f>
        <v>2.7</v>
      </c>
      <c r="E42" s="116" t="s">
        <v>735</v>
      </c>
    </row>
    <row r="44" spans="3:14" s="116" customFormat="1" ht="18" x14ac:dyDescent="0.35">
      <c r="C44" s="133" t="s">
        <v>733</v>
      </c>
      <c r="E44" s="168" t="s">
        <v>379</v>
      </c>
      <c r="F44" s="168" t="s">
        <v>297</v>
      </c>
      <c r="G44" s="168" t="s">
        <v>446</v>
      </c>
      <c r="H44" s="168" t="s">
        <v>447</v>
      </c>
      <c r="I44" s="168" t="s">
        <v>448</v>
      </c>
      <c r="J44" s="175"/>
      <c r="M44"/>
      <c r="N44"/>
    </row>
    <row r="45" spans="3:14" s="116" customFormat="1" x14ac:dyDescent="0.3">
      <c r="C45" s="123" t="s">
        <v>626</v>
      </c>
      <c r="D45" s="123"/>
      <c r="E45" s="124">
        <f>E31</f>
        <v>0</v>
      </c>
      <c r="F45" s="124" t="e">
        <f t="shared" ref="F45:I45" si="7">F31</f>
        <v>#DIV/0!</v>
      </c>
      <c r="G45" s="124" t="e">
        <f t="shared" si="7"/>
        <v>#DIV/0!</v>
      </c>
      <c r="H45" s="124" t="e">
        <f t="shared" si="7"/>
        <v>#DIV/0!</v>
      </c>
      <c r="I45" s="124" t="e">
        <f t="shared" si="7"/>
        <v>#DIV/0!</v>
      </c>
      <c r="J45" s="176" t="e">
        <f>SUM(E45:I45)</f>
        <v>#DIV/0!</v>
      </c>
      <c r="M45"/>
      <c r="N45"/>
    </row>
    <row r="46" spans="3:14" s="116" customFormat="1" x14ac:dyDescent="0.3">
      <c r="C46" s="172" t="s">
        <v>434</v>
      </c>
      <c r="D46" s="172"/>
      <c r="E46" s="171">
        <f>E6</f>
        <v>0</v>
      </c>
      <c r="F46" s="171" t="e">
        <f t="shared" ref="F46:I46" si="8">F6</f>
        <v>#DIV/0!</v>
      </c>
      <c r="G46" s="171" t="e">
        <f t="shared" si="8"/>
        <v>#DIV/0!</v>
      </c>
      <c r="H46" s="171" t="e">
        <f t="shared" si="8"/>
        <v>#DIV/0!</v>
      </c>
      <c r="I46" s="171" t="e">
        <f t="shared" si="8"/>
        <v>#DIV/0!</v>
      </c>
      <c r="J46" s="177" t="e">
        <f>SUM(E46:I46)</f>
        <v>#DIV/0!</v>
      </c>
      <c r="M46"/>
      <c r="N46"/>
    </row>
    <row r="47" spans="3:14" s="116" customFormat="1" x14ac:dyDescent="0.3">
      <c r="C47" s="123" t="s">
        <v>736</v>
      </c>
      <c r="D47" s="123"/>
      <c r="E47" s="124">
        <f>E7</f>
        <v>0</v>
      </c>
      <c r="F47" s="124">
        <f t="shared" ref="F47:I47" si="9">F7</f>
        <v>0</v>
      </c>
      <c r="G47" s="124">
        <f t="shared" si="9"/>
        <v>0</v>
      </c>
      <c r="H47" s="124">
        <f t="shared" si="9"/>
        <v>0</v>
      </c>
      <c r="I47" s="124">
        <f t="shared" si="9"/>
        <v>0</v>
      </c>
      <c r="J47" s="176">
        <f>SUM(E47:I47)</f>
        <v>0</v>
      </c>
      <c r="M47"/>
      <c r="N47"/>
    </row>
    <row r="48" spans="3:14" s="116" customFormat="1" x14ac:dyDescent="0.3">
      <c r="C48" s="172" t="s">
        <v>737</v>
      </c>
      <c r="D48" s="172"/>
      <c r="E48" s="171">
        <f>E111</f>
        <v>0</v>
      </c>
      <c r="F48" s="171">
        <f>F111</f>
        <v>0</v>
      </c>
      <c r="G48" s="171">
        <f>G111</f>
        <v>0</v>
      </c>
      <c r="H48" s="171">
        <f>H111</f>
        <v>0</v>
      </c>
      <c r="I48" s="171">
        <f>I111</f>
        <v>0</v>
      </c>
      <c r="J48" s="177">
        <f>SUM(E48:I48)</f>
        <v>0</v>
      </c>
      <c r="M48"/>
      <c r="N48"/>
    </row>
    <row r="49" spans="3:15" x14ac:dyDescent="0.3">
      <c r="C49" s="173" t="s">
        <v>716</v>
      </c>
      <c r="D49" s="174">
        <f>'Flujo Operativo'!E14*-1</f>
        <v>0</v>
      </c>
      <c r="E49" s="128"/>
      <c r="F49" s="125"/>
      <c r="G49" s="125"/>
      <c r="H49" s="125"/>
      <c r="I49" s="125"/>
      <c r="J49" s="178"/>
    </row>
    <row r="50" spans="3:15" x14ac:dyDescent="0.3">
      <c r="C50" s="172" t="s">
        <v>627</v>
      </c>
      <c r="D50" s="198">
        <f>D49*-1</f>
        <v>0</v>
      </c>
      <c r="E50" s="171">
        <f>'Flujo Operativo'!F14</f>
        <v>0</v>
      </c>
      <c r="F50" s="171" t="e">
        <f>'Flujo Operativo'!G14</f>
        <v>#DIV/0!</v>
      </c>
      <c r="G50" s="171" t="e">
        <f>'Flujo Operativo'!H14</f>
        <v>#DIV/0!</v>
      </c>
      <c r="H50" s="171" t="e">
        <f>'Flujo Operativo'!I14</f>
        <v>#DIV/0!</v>
      </c>
      <c r="I50" s="171" t="e">
        <f>'Flujo Operativo'!J14</f>
        <v>#DIV/0!</v>
      </c>
      <c r="J50" s="177" t="e">
        <f>SUM(E50:I50)</f>
        <v>#DIV/0!</v>
      </c>
    </row>
    <row r="51" spans="3:15" x14ac:dyDescent="0.3">
      <c r="C51" s="123" t="s">
        <v>734</v>
      </c>
      <c r="D51" s="207">
        <f>D50</f>
        <v>0</v>
      </c>
      <c r="E51" s="124">
        <f>'Flujo Operativo'!F37</f>
        <v>0</v>
      </c>
      <c r="F51" s="124" t="e">
        <f>'Flujo Operativo'!G37</f>
        <v>#DIV/0!</v>
      </c>
      <c r="G51" s="124" t="e">
        <f>'Flujo Operativo'!H37</f>
        <v>#DIV/0!</v>
      </c>
      <c r="H51" s="124" t="e">
        <f>'Flujo Operativo'!I37</f>
        <v>#DIV/0!</v>
      </c>
      <c r="I51" s="124" t="e">
        <f>'Flujo Operativo'!J37</f>
        <v>#DIV/0!</v>
      </c>
      <c r="J51" s="176"/>
    </row>
    <row r="52" spans="3:15" ht="7.2" customHeight="1" x14ac:dyDescent="0.3">
      <c r="C52" s="116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76"/>
    </row>
    <row r="53" spans="3:15" x14ac:dyDescent="0.3">
      <c r="C53" s="44" t="s">
        <v>717</v>
      </c>
      <c r="D53" s="157" t="e">
        <f>'Flujo Operativo'!E38</f>
        <v>#DIV/0!</v>
      </c>
      <c r="E53" s="157"/>
      <c r="F53" s="157"/>
      <c r="N53" s="45"/>
    </row>
    <row r="54" spans="3:15" x14ac:dyDescent="0.3">
      <c r="C54" s="44" t="s">
        <v>687</v>
      </c>
      <c r="D54" s="206" t="e">
        <f>'Flujo Operativo'!E40</f>
        <v>#VALUE!</v>
      </c>
      <c r="E54" s="206"/>
      <c r="F54" s="206"/>
    </row>
    <row r="55" spans="3:15" x14ac:dyDescent="0.3">
      <c r="C55" s="44" t="s">
        <v>731</v>
      </c>
      <c r="D55" s="175">
        <f>'Flujo Operativo'!E41</f>
        <v>4</v>
      </c>
      <c r="E55" s="116" t="s">
        <v>735</v>
      </c>
    </row>
    <row r="57" spans="3:15" x14ac:dyDescent="0.3">
      <c r="C57" s="496" t="s">
        <v>632</v>
      </c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</row>
    <row r="58" spans="3:15" x14ac:dyDescent="0.3">
      <c r="C58" s="496"/>
      <c r="D58" s="496"/>
      <c r="E58" s="496"/>
      <c r="F58" s="496"/>
      <c r="G58" s="496"/>
      <c r="H58" s="496"/>
      <c r="I58" s="496"/>
      <c r="J58" s="496"/>
      <c r="K58" s="496"/>
      <c r="L58" s="496"/>
      <c r="M58" s="496"/>
      <c r="N58" s="496"/>
      <c r="O58" s="496"/>
    </row>
    <row r="77" spans="2:16" x14ac:dyDescent="0.3">
      <c r="P77" s="119"/>
    </row>
    <row r="79" spans="2:16" x14ac:dyDescent="0.3">
      <c r="B79" s="494"/>
      <c r="C79" s="494"/>
    </row>
    <row r="81" spans="3:15" ht="14.4" customHeight="1" x14ac:dyDescent="0.55000000000000004">
      <c r="C81" s="496" t="s">
        <v>740</v>
      </c>
      <c r="D81" s="496"/>
      <c r="E81" s="496"/>
      <c r="F81" s="496"/>
      <c r="G81" s="496"/>
      <c r="H81" s="496"/>
      <c r="I81" s="496"/>
      <c r="J81" s="496"/>
      <c r="K81" s="210"/>
      <c r="L81" s="210"/>
      <c r="M81" s="210"/>
      <c r="N81" s="210"/>
      <c r="O81" s="210"/>
    </row>
    <row r="82" spans="3:15" ht="14.4" customHeight="1" x14ac:dyDescent="0.55000000000000004">
      <c r="C82" s="496"/>
      <c r="D82" s="496"/>
      <c r="E82" s="496"/>
      <c r="F82" s="496"/>
      <c r="G82" s="496"/>
      <c r="H82" s="496"/>
      <c r="I82" s="496"/>
      <c r="J82" s="496"/>
      <c r="K82" s="210"/>
      <c r="L82" s="210"/>
      <c r="M82" s="210"/>
      <c r="N82" s="210"/>
      <c r="O82" s="210"/>
    </row>
    <row r="83" spans="3:15" x14ac:dyDescent="0.3">
      <c r="C83" s="2"/>
      <c r="D83" s="1"/>
      <c r="E83" s="1"/>
      <c r="F83" s="1"/>
      <c r="G83" s="1"/>
      <c r="H83" s="1"/>
      <c r="J83" s="8"/>
    </row>
    <row r="84" spans="3:15" x14ac:dyDescent="0.3">
      <c r="C84" s="4" t="s">
        <v>1</v>
      </c>
      <c r="D84" s="5" t="s">
        <v>379</v>
      </c>
      <c r="E84" s="5" t="s">
        <v>297</v>
      </c>
      <c r="F84" s="5" t="s">
        <v>446</v>
      </c>
      <c r="G84" s="5" t="s">
        <v>447</v>
      </c>
      <c r="H84" s="5" t="s">
        <v>448</v>
      </c>
      <c r="I84" s="6" t="s">
        <v>14</v>
      </c>
      <c r="J84" s="8"/>
    </row>
    <row r="85" spans="3:15" x14ac:dyDescent="0.3">
      <c r="C85" s="7" t="s">
        <v>445</v>
      </c>
      <c r="D85" s="158">
        <f>Parámetros!$FR$6</f>
        <v>0</v>
      </c>
      <c r="E85" s="158" t="e">
        <f>Parámetros!$GI$6</f>
        <v>#DIV/0!</v>
      </c>
      <c r="F85" s="158" t="e">
        <f>Parámetros!$GI$37</f>
        <v>#DIV/0!</v>
      </c>
      <c r="G85" s="158" t="e">
        <f>Parámetros!$GI$68</f>
        <v>#DIV/0!</v>
      </c>
      <c r="H85" s="158" t="e">
        <f>Parámetros!$GI$99</f>
        <v>#DIV/0!</v>
      </c>
      <c r="I85" s="159" t="e">
        <f>SUM(D85:H85)</f>
        <v>#DIV/0!</v>
      </c>
      <c r="J85" s="19" t="e">
        <f>I85/$I$85</f>
        <v>#DIV/0!</v>
      </c>
    </row>
    <row r="86" spans="3:15" x14ac:dyDescent="0.3">
      <c r="C86" s="9" t="s">
        <v>16</v>
      </c>
      <c r="D86" s="160">
        <f>Parámetros!$FR$7</f>
        <v>0</v>
      </c>
      <c r="E86" s="160" t="e">
        <f>Parámetros!$GI$7</f>
        <v>#DIV/0!</v>
      </c>
      <c r="F86" s="160" t="e">
        <f>Parámetros!$GI$38</f>
        <v>#DIV/0!</v>
      </c>
      <c r="G86" s="160" t="e">
        <f>Parámetros!$GI$69</f>
        <v>#DIV/0!</v>
      </c>
      <c r="H86" s="160" t="e">
        <f>Parámetros!$GI$100</f>
        <v>#DIV/0!</v>
      </c>
      <c r="I86" s="159" t="e">
        <f>SUM(D86:H86)</f>
        <v>#DIV/0!</v>
      </c>
      <c r="J86" s="19" t="e">
        <f>I86/$I$85</f>
        <v>#DIV/0!</v>
      </c>
    </row>
    <row r="87" spans="3:15" x14ac:dyDescent="0.3">
      <c r="C87" s="7" t="s">
        <v>17</v>
      </c>
      <c r="D87" s="158">
        <f>D85-D86</f>
        <v>0</v>
      </c>
      <c r="E87" s="158" t="e">
        <f t="shared" ref="E87:H87" si="10">E85-E86</f>
        <v>#DIV/0!</v>
      </c>
      <c r="F87" s="158" t="e">
        <f t="shared" si="10"/>
        <v>#DIV/0!</v>
      </c>
      <c r="G87" s="158" t="e">
        <f t="shared" si="10"/>
        <v>#DIV/0!</v>
      </c>
      <c r="H87" s="158" t="e">
        <f t="shared" si="10"/>
        <v>#DIV/0!</v>
      </c>
      <c r="I87" s="159" t="e">
        <f>SUM(D87:H87)</f>
        <v>#DIV/0!</v>
      </c>
      <c r="J87" s="19" t="e">
        <f>I87/$I$85</f>
        <v>#DIV/0!</v>
      </c>
    </row>
    <row r="88" spans="3:15" x14ac:dyDescent="0.3">
      <c r="C88" s="9" t="s">
        <v>18</v>
      </c>
      <c r="D88" s="160">
        <f>Parámetros!$FR$9</f>
        <v>0</v>
      </c>
      <c r="E88" s="160" t="e">
        <f>Parámetros!$GI$9</f>
        <v>#DIV/0!</v>
      </c>
      <c r="F88" s="160" t="e">
        <f>Parámetros!$GI$40</f>
        <v>#DIV/0!</v>
      </c>
      <c r="G88" s="160" t="e">
        <f>Parámetros!$GI$71</f>
        <v>#DIV/0!</v>
      </c>
      <c r="H88" s="160" t="e">
        <f>Parámetros!$GI$102</f>
        <v>#DIV/0!</v>
      </c>
      <c r="I88" s="159" t="e">
        <f>SUM(D88:H88)</f>
        <v>#DIV/0!</v>
      </c>
      <c r="J88" s="19" t="e">
        <f>I88/$I$85</f>
        <v>#DIV/0!</v>
      </c>
    </row>
    <row r="89" spans="3:15" x14ac:dyDescent="0.3">
      <c r="C89" s="7" t="s">
        <v>19</v>
      </c>
      <c r="D89" s="158">
        <f>D87-D88</f>
        <v>0</v>
      </c>
      <c r="E89" s="158" t="e">
        <f t="shared" ref="E89:H89" si="11">E87-E88</f>
        <v>#DIV/0!</v>
      </c>
      <c r="F89" s="158" t="e">
        <f t="shared" si="11"/>
        <v>#DIV/0!</v>
      </c>
      <c r="G89" s="158" t="e">
        <f t="shared" si="11"/>
        <v>#DIV/0!</v>
      </c>
      <c r="H89" s="158" t="e">
        <f t="shared" si="11"/>
        <v>#DIV/0!</v>
      </c>
      <c r="I89" s="159" t="e">
        <f>SUM(D89:H89)</f>
        <v>#DIV/0!</v>
      </c>
      <c r="J89" s="19" t="e">
        <f>I89/$I$85</f>
        <v>#DIV/0!</v>
      </c>
    </row>
    <row r="90" spans="3:15" x14ac:dyDescent="0.3">
      <c r="C90" s="1"/>
      <c r="D90" s="12"/>
      <c r="E90" s="12"/>
      <c r="F90" s="12"/>
      <c r="G90" s="12"/>
      <c r="H90" s="12"/>
      <c r="I90" s="12"/>
      <c r="J90" s="19"/>
    </row>
    <row r="91" spans="3:15" x14ac:dyDescent="0.3">
      <c r="C91" s="7" t="s">
        <v>280</v>
      </c>
      <c r="D91" s="158" t="e">
        <f>Parámetros!$FR$12</f>
        <v>#DIV/0!</v>
      </c>
      <c r="E91" s="158" t="e">
        <f>Parámetros!$GI$12</f>
        <v>#DIV/0!</v>
      </c>
      <c r="F91" s="158" t="e">
        <f>Parámetros!$GI$43</f>
        <v>#DIV/0!</v>
      </c>
      <c r="G91" s="158" t="e">
        <f>Parámetros!$GI$74</f>
        <v>#DIV/0!</v>
      </c>
      <c r="H91" s="158" t="e">
        <f>Parámetros!$GI$105</f>
        <v>#DIV/0!</v>
      </c>
      <c r="I91" s="161" t="e">
        <f>SUM(D91:H91)</f>
        <v>#DIV/0!</v>
      </c>
      <c r="J91" s="19" t="e">
        <f>I91/$I$85</f>
        <v>#DIV/0!</v>
      </c>
    </row>
    <row r="92" spans="3:15" x14ac:dyDescent="0.3">
      <c r="C92" s="10" t="s">
        <v>449</v>
      </c>
      <c r="D92" s="162" t="e">
        <f>D89-D91</f>
        <v>#DIV/0!</v>
      </c>
      <c r="E92" s="162" t="e">
        <f t="shared" ref="E92:H92" si="12">E89-E91</f>
        <v>#DIV/0!</v>
      </c>
      <c r="F92" s="162" t="e">
        <f t="shared" si="12"/>
        <v>#DIV/0!</v>
      </c>
      <c r="G92" s="162" t="e">
        <f t="shared" si="12"/>
        <v>#DIV/0!</v>
      </c>
      <c r="H92" s="162" t="e">
        <f t="shared" si="12"/>
        <v>#DIV/0!</v>
      </c>
      <c r="I92" s="159" t="e">
        <f>SUM(B92:H92)</f>
        <v>#DIV/0!</v>
      </c>
      <c r="J92" s="19" t="e">
        <f>I92/$I$85</f>
        <v>#DIV/0!</v>
      </c>
    </row>
    <row r="93" spans="3:15" x14ac:dyDescent="0.3">
      <c r="C93" s="11"/>
      <c r="D93" s="12"/>
      <c r="E93" s="12"/>
      <c r="F93" s="12"/>
      <c r="G93" s="12"/>
      <c r="H93" s="12"/>
      <c r="I93" s="12"/>
      <c r="J93" s="20"/>
    </row>
    <row r="94" spans="3:15" x14ac:dyDescent="0.3">
      <c r="C94" s="10" t="s">
        <v>249</v>
      </c>
      <c r="D94" s="163">
        <f>Parámetros!$FR$15</f>
        <v>0</v>
      </c>
      <c r="E94" s="163" t="e">
        <f>Parámetros!$GI$15</f>
        <v>#DIV/0!</v>
      </c>
      <c r="F94" s="163" t="e">
        <f>Parámetros!$GI$46</f>
        <v>#DIV/0!</v>
      </c>
      <c r="G94" s="163" t="e">
        <f>Parámetros!$GI$77</f>
        <v>#DIV/0!</v>
      </c>
      <c r="H94" s="163" t="e">
        <f>Parámetros!$GI$108</f>
        <v>#DIV/0!</v>
      </c>
      <c r="I94" s="159" t="e">
        <f>SUM(B94:H94)</f>
        <v>#DIV/0!</v>
      </c>
      <c r="J94" s="19" t="e">
        <f>I94/$I$85</f>
        <v>#DIV/0!</v>
      </c>
    </row>
    <row r="95" spans="3:15" x14ac:dyDescent="0.3">
      <c r="C95" s="11"/>
      <c r="D95" s="12"/>
      <c r="E95" s="12"/>
      <c r="F95" s="12"/>
      <c r="G95" s="12"/>
      <c r="H95" s="12"/>
      <c r="I95" s="12"/>
      <c r="J95" s="20"/>
    </row>
    <row r="96" spans="3:15" x14ac:dyDescent="0.3">
      <c r="C96" s="10" t="s">
        <v>451</v>
      </c>
      <c r="D96" s="162" t="e">
        <f>+D92-D94</f>
        <v>#DIV/0!</v>
      </c>
      <c r="E96" s="162" t="e">
        <f t="shared" ref="E96:H96" si="13">+E92-E94</f>
        <v>#DIV/0!</v>
      </c>
      <c r="F96" s="162" t="e">
        <f t="shared" si="13"/>
        <v>#DIV/0!</v>
      </c>
      <c r="G96" s="162" t="e">
        <f t="shared" si="13"/>
        <v>#DIV/0!</v>
      </c>
      <c r="H96" s="162" t="e">
        <f t="shared" si="13"/>
        <v>#DIV/0!</v>
      </c>
      <c r="I96" s="159" t="e">
        <f>SUM(B96:H96)</f>
        <v>#DIV/0!</v>
      </c>
      <c r="J96" s="19" t="e">
        <f>I96/$I$85</f>
        <v>#DIV/0!</v>
      </c>
    </row>
    <row r="97" spans="2:23" x14ac:dyDescent="0.3">
      <c r="C97" s="11"/>
      <c r="D97" s="12"/>
      <c r="E97" s="12"/>
      <c r="F97" s="12"/>
      <c r="G97" s="12"/>
      <c r="H97" s="12"/>
      <c r="I97" s="12"/>
      <c r="J97" s="20"/>
    </row>
    <row r="98" spans="2:23" x14ac:dyDescent="0.3">
      <c r="C98" s="10" t="s">
        <v>439</v>
      </c>
      <c r="D98" s="163">
        <f>Parámetros!$FR$19</f>
        <v>0</v>
      </c>
      <c r="E98" s="163">
        <f>Parámetros!$GI$19</f>
        <v>0</v>
      </c>
      <c r="F98" s="163">
        <f>Parámetros!$GI$50</f>
        <v>0</v>
      </c>
      <c r="G98" s="163">
        <f>Parámetros!$GI$81</f>
        <v>0</v>
      </c>
      <c r="H98" s="163">
        <f>Parámetros!$GI$112</f>
        <v>0</v>
      </c>
      <c r="I98" s="159">
        <f>SUM(B98:H98)</f>
        <v>0</v>
      </c>
      <c r="J98" s="19" t="e">
        <f>I98/$I$85</f>
        <v>#DIV/0!</v>
      </c>
    </row>
    <row r="99" spans="2:23" x14ac:dyDescent="0.3">
      <c r="C99" s="11"/>
      <c r="D99" s="12"/>
      <c r="E99" s="12"/>
      <c r="F99" s="12"/>
      <c r="G99" s="12"/>
      <c r="H99" s="12"/>
      <c r="I99" s="12"/>
      <c r="J99" s="20"/>
    </row>
    <row r="100" spans="2:23" x14ac:dyDescent="0.3">
      <c r="C100" s="10" t="s">
        <v>252</v>
      </c>
      <c r="D100" s="162" t="e">
        <f>+D96-D98</f>
        <v>#DIV/0!</v>
      </c>
      <c r="E100" s="162" t="e">
        <f t="shared" ref="E100:H100" si="14">+E96-E98</f>
        <v>#DIV/0!</v>
      </c>
      <c r="F100" s="162" t="e">
        <f t="shared" si="14"/>
        <v>#DIV/0!</v>
      </c>
      <c r="G100" s="162" t="e">
        <f t="shared" si="14"/>
        <v>#DIV/0!</v>
      </c>
      <c r="H100" s="162" t="e">
        <f t="shared" si="14"/>
        <v>#DIV/0!</v>
      </c>
      <c r="I100" s="159" t="e">
        <f>SUM(B100:H100)</f>
        <v>#DIV/0!</v>
      </c>
      <c r="J100" s="19" t="e">
        <f>I100/$I$85</f>
        <v>#DIV/0!</v>
      </c>
    </row>
    <row r="101" spans="2:23" x14ac:dyDescent="0.3">
      <c r="C101" s="11"/>
      <c r="D101" s="12"/>
      <c r="E101" s="12"/>
      <c r="F101" s="12"/>
      <c r="G101" s="12"/>
      <c r="H101" s="12"/>
      <c r="I101" s="12"/>
      <c r="J101" s="21"/>
    </row>
    <row r="102" spans="2:23" x14ac:dyDescent="0.3">
      <c r="C102" s="10" t="s">
        <v>254</v>
      </c>
      <c r="D102" s="163">
        <f>Parámetros!$FR$23</f>
        <v>-0.19999999999999998</v>
      </c>
      <c r="E102" s="163">
        <f>Parámetros!$GI$23</f>
        <v>-0.19999999999999998</v>
      </c>
      <c r="F102" s="163">
        <f>Parámetros!$GI$54</f>
        <v>-0.19999999999999998</v>
      </c>
      <c r="G102" s="163">
        <f>Parámetros!$GI$85</f>
        <v>-0.19999999999999998</v>
      </c>
      <c r="H102" s="163">
        <f>Parámetros!$GI$116</f>
        <v>-0.19999999999999998</v>
      </c>
      <c r="I102" s="159">
        <f>SUM(B102:H102)</f>
        <v>-0.99999999999999989</v>
      </c>
      <c r="J102" s="19" t="e">
        <f>I102/$I$85</f>
        <v>#DIV/0!</v>
      </c>
    </row>
    <row r="103" spans="2:23" x14ac:dyDescent="0.3">
      <c r="C103" s="1"/>
      <c r="D103" s="12"/>
      <c r="E103" s="12"/>
      <c r="F103" s="12"/>
      <c r="G103" s="12"/>
      <c r="H103" s="12"/>
      <c r="I103" s="12"/>
      <c r="J103" s="19"/>
    </row>
    <row r="104" spans="2:23" x14ac:dyDescent="0.3">
      <c r="C104" s="10" t="s">
        <v>440</v>
      </c>
      <c r="D104" s="163" t="e">
        <f>Parámetros!$FR$25</f>
        <v>#DIV/0!</v>
      </c>
      <c r="E104" s="163" t="e">
        <f>Parámetros!$GI$25</f>
        <v>#DIV/0!</v>
      </c>
      <c r="F104" s="163" t="e">
        <f>Parámetros!$GI$56</f>
        <v>#DIV/0!</v>
      </c>
      <c r="G104" s="163" t="e">
        <f>Parámetros!$GI$87</f>
        <v>#DIV/0!</v>
      </c>
      <c r="H104" s="163" t="e">
        <f>Parámetros!$GI$118</f>
        <v>#DIV/0!</v>
      </c>
      <c r="I104" s="159" t="e">
        <f>SUM(B104:H104)</f>
        <v>#DIV/0!</v>
      </c>
      <c r="J104" s="19" t="e">
        <f>I104/$I$85</f>
        <v>#DIV/0!</v>
      </c>
    </row>
    <row r="105" spans="2:23" x14ac:dyDescent="0.3">
      <c r="C105" s="3"/>
      <c r="D105" s="12"/>
      <c r="E105" s="12"/>
      <c r="F105" s="12"/>
      <c r="G105" s="12"/>
      <c r="H105" s="12"/>
      <c r="I105" s="12"/>
      <c r="J105" s="21"/>
    </row>
    <row r="106" spans="2:23" x14ac:dyDescent="0.3">
      <c r="C106" s="10" t="s">
        <v>441</v>
      </c>
      <c r="D106" s="162" t="e">
        <f>D100-D102-D104</f>
        <v>#DIV/0!</v>
      </c>
      <c r="E106" s="162" t="e">
        <f t="shared" ref="E106:H106" si="15">E100-E102-E104</f>
        <v>#DIV/0!</v>
      </c>
      <c r="F106" s="162" t="e">
        <f t="shared" si="15"/>
        <v>#DIV/0!</v>
      </c>
      <c r="G106" s="162" t="e">
        <f t="shared" si="15"/>
        <v>#DIV/0!</v>
      </c>
      <c r="H106" s="162" t="e">
        <f t="shared" si="15"/>
        <v>#DIV/0!</v>
      </c>
      <c r="I106" s="159" t="e">
        <f>SUM(B106:H106)</f>
        <v>#DIV/0!</v>
      </c>
      <c r="J106" s="19" t="e">
        <f>I106/$I$85</f>
        <v>#DIV/0!</v>
      </c>
    </row>
    <row r="107" spans="2:23" x14ac:dyDescent="0.3">
      <c r="C107" s="1"/>
      <c r="D107" s="8" t="e">
        <f>D106/D85</f>
        <v>#DIV/0!</v>
      </c>
      <c r="E107" s="8" t="e">
        <f t="shared" ref="E107:H107" si="16">E106/E85</f>
        <v>#DIV/0!</v>
      </c>
      <c r="F107" s="8" t="e">
        <f t="shared" si="16"/>
        <v>#DIV/0!</v>
      </c>
      <c r="G107" s="8" t="e">
        <f t="shared" si="16"/>
        <v>#DIV/0!</v>
      </c>
      <c r="H107" s="8" t="e">
        <f t="shared" si="16"/>
        <v>#DIV/0!</v>
      </c>
      <c r="I107" s="1"/>
      <c r="J107" s="8"/>
    </row>
    <row r="109" spans="2:23" ht="18.600000000000001" thickBot="1" x14ac:dyDescent="0.4">
      <c r="B109" s="494"/>
      <c r="C109" s="494"/>
      <c r="D109" s="133" t="s">
        <v>682</v>
      </c>
    </row>
    <row r="110" spans="2:23" x14ac:dyDescent="0.3">
      <c r="C110" s="117"/>
      <c r="D110" s="118" t="s">
        <v>452</v>
      </c>
      <c r="E110" s="118" t="s">
        <v>379</v>
      </c>
      <c r="F110" s="118" t="s">
        <v>297</v>
      </c>
      <c r="G110" s="118" t="s">
        <v>446</v>
      </c>
      <c r="H110" s="118" t="s">
        <v>447</v>
      </c>
      <c r="I110" s="118" t="s">
        <v>448</v>
      </c>
      <c r="J110" s="130" t="s">
        <v>623</v>
      </c>
      <c r="L110" s="179"/>
      <c r="M110" s="180"/>
      <c r="N110" s="180"/>
      <c r="O110" s="181" t="s">
        <v>573</v>
      </c>
      <c r="P110" s="234">
        <v>5</v>
      </c>
    </row>
    <row r="111" spans="2:23" x14ac:dyDescent="0.3">
      <c r="C111" s="194" t="s">
        <v>624</v>
      </c>
      <c r="D111" s="120">
        <f>Parámetros!D9*-1</f>
        <v>0</v>
      </c>
      <c r="E111" s="121">
        <f>SUM('Programación del préstamo'!$D$12:$D$23)-SUM('Programación del préstamo'!D12:D15)</f>
        <v>0</v>
      </c>
      <c r="F111" s="121">
        <f>SUM('Programación del préstamo'!$D$24:$D$35)</f>
        <v>0</v>
      </c>
      <c r="G111" s="121">
        <f>SUM('Programación del préstamo'!$D$36:$D$47)</f>
        <v>0</v>
      </c>
      <c r="H111" s="121">
        <f>SUM('Programación del préstamo'!$D$48:$D$59)</f>
        <v>0</v>
      </c>
      <c r="I111" s="120">
        <f>SUM('Programación del préstamo'!$D$60:$D$71)+SUM('Programación del préstamo'!D12:D15)</f>
        <v>0</v>
      </c>
      <c r="J111" s="131">
        <f t="shared" ref="J111:J112" si="17">SUM(E111:I111)</f>
        <v>0</v>
      </c>
      <c r="L111" s="182"/>
      <c r="M111" s="183"/>
      <c r="N111" s="183"/>
      <c r="O111" s="184" t="s">
        <v>666</v>
      </c>
      <c r="P111" s="240">
        <v>0.05</v>
      </c>
      <c r="W111" s="116"/>
    </row>
    <row r="112" spans="2:23" x14ac:dyDescent="0.3">
      <c r="C112" s="194" t="s">
        <v>625</v>
      </c>
      <c r="D112" s="120"/>
      <c r="E112" s="121">
        <f>SUM('Programación del préstamo'!$E$12:$E$23)-('Programación del préstamo'!E12*4)</f>
        <v>0</v>
      </c>
      <c r="F112" s="121">
        <f>SUM('Programación del préstamo'!$E$24:$E$35)</f>
        <v>0</v>
      </c>
      <c r="G112" s="121">
        <f>SUM('Programación del préstamo'!$E$36:$E$47)</f>
        <v>0</v>
      </c>
      <c r="H112" s="121">
        <f>SUM('Programación del préstamo'!$E$48:$E$59)</f>
        <v>0</v>
      </c>
      <c r="I112" s="120">
        <f>SUM('Programación del préstamo'!$E$60:$E$71)</f>
        <v>0</v>
      </c>
      <c r="J112" s="131">
        <f t="shared" si="17"/>
        <v>0</v>
      </c>
      <c r="L112" s="182"/>
      <c r="M112" s="183"/>
      <c r="N112" s="183"/>
      <c r="O112" s="184" t="s">
        <v>566</v>
      </c>
      <c r="P112" s="164">
        <v>0.5</v>
      </c>
      <c r="W112" s="116"/>
    </row>
    <row r="113" spans="3:23" ht="15" thickBot="1" x14ac:dyDescent="0.35">
      <c r="C113" s="195" t="s">
        <v>453</v>
      </c>
      <c r="D113" s="122"/>
      <c r="E113" s="122">
        <f>SUM(E111:E112)</f>
        <v>0</v>
      </c>
      <c r="F113" s="122">
        <f t="shared" ref="F113:I113" si="18">SUM(F111:F112)</f>
        <v>0</v>
      </c>
      <c r="G113" s="122">
        <f t="shared" si="18"/>
        <v>0</v>
      </c>
      <c r="H113" s="122">
        <f t="shared" si="18"/>
        <v>0</v>
      </c>
      <c r="I113" s="122">
        <f t="shared" si="18"/>
        <v>0</v>
      </c>
      <c r="J113" s="132">
        <f>SUM(E113:I113)</f>
        <v>0</v>
      </c>
      <c r="L113" s="182"/>
      <c r="M113" s="183"/>
      <c r="N113" s="183"/>
      <c r="O113" s="184" t="s">
        <v>505</v>
      </c>
      <c r="P113" s="165" t="e">
        <f>SUM(E6:I6)+SUM(E113:I113)</f>
        <v>#DIV/0!</v>
      </c>
      <c r="W113" s="116"/>
    </row>
    <row r="114" spans="3:23" x14ac:dyDescent="0.3">
      <c r="L114" s="182"/>
      <c r="M114" s="183"/>
      <c r="N114" s="183"/>
      <c r="O114" s="184" t="s">
        <v>679</v>
      </c>
      <c r="P114" s="165">
        <f>+D111*-1</f>
        <v>0</v>
      </c>
      <c r="W114" s="116"/>
    </row>
    <row r="115" spans="3:23" x14ac:dyDescent="0.3">
      <c r="L115" s="182"/>
      <c r="M115" s="183"/>
      <c r="N115" s="183"/>
      <c r="O115" s="184" t="s">
        <v>631</v>
      </c>
      <c r="P115" s="165">
        <f>Parámetros!D8</f>
        <v>0</v>
      </c>
      <c r="W115" s="116"/>
    </row>
    <row r="116" spans="3:23" x14ac:dyDescent="0.3">
      <c r="L116" s="182"/>
      <c r="M116" s="183"/>
      <c r="N116" s="183"/>
      <c r="O116" s="184" t="s">
        <v>680</v>
      </c>
      <c r="P116" s="165">
        <f>P114-P115</f>
        <v>0</v>
      </c>
      <c r="W116" s="116"/>
    </row>
    <row r="117" spans="3:23" x14ac:dyDescent="0.3">
      <c r="C117" s="116"/>
      <c r="D117" s="116"/>
      <c r="E117" s="116"/>
      <c r="F117" s="116"/>
      <c r="G117" s="116"/>
      <c r="H117" s="116"/>
      <c r="I117" s="116"/>
      <c r="J117" s="116"/>
      <c r="L117" s="182"/>
      <c r="M117" s="183"/>
      <c r="N117" s="183"/>
      <c r="O117" s="184" t="s">
        <v>629</v>
      </c>
      <c r="P117" s="166" t="e">
        <f>+P113/P114</f>
        <v>#DIV/0!</v>
      </c>
      <c r="W117" s="116"/>
    </row>
    <row r="118" spans="3:23" x14ac:dyDescent="0.3">
      <c r="C118" s="116"/>
      <c r="D118" s="116"/>
      <c r="E118" s="116"/>
      <c r="F118" s="116"/>
      <c r="G118" s="116"/>
      <c r="H118" s="116"/>
      <c r="I118" s="116"/>
      <c r="J118" s="116"/>
      <c r="L118" s="182"/>
      <c r="M118" s="183"/>
      <c r="N118" s="183"/>
      <c r="O118" s="184" t="s">
        <v>630</v>
      </c>
      <c r="P118" s="165">
        <f>P116*P112</f>
        <v>0</v>
      </c>
      <c r="W118" s="116"/>
    </row>
    <row r="119" spans="3:23" x14ac:dyDescent="0.3">
      <c r="C119" s="116"/>
      <c r="D119" s="116"/>
      <c r="E119" s="116"/>
      <c r="F119" s="116"/>
      <c r="G119" s="116"/>
      <c r="H119" s="116"/>
      <c r="I119" s="116"/>
      <c r="J119" s="116"/>
      <c r="L119" s="182"/>
      <c r="M119" s="183"/>
      <c r="N119" s="183"/>
      <c r="O119" s="184" t="s">
        <v>571</v>
      </c>
      <c r="P119" s="240">
        <v>0.25</v>
      </c>
      <c r="W119" s="116"/>
    </row>
    <row r="120" spans="3:23" x14ac:dyDescent="0.3">
      <c r="C120" s="116"/>
      <c r="D120" s="116"/>
      <c r="E120" s="116"/>
      <c r="F120" s="116"/>
      <c r="G120" s="116"/>
      <c r="H120" s="116"/>
      <c r="I120" s="116"/>
      <c r="J120" s="116"/>
      <c r="K120" s="128"/>
      <c r="L120" s="185"/>
      <c r="M120" s="186"/>
      <c r="N120" s="183"/>
      <c r="O120" s="184" t="s">
        <v>572</v>
      </c>
      <c r="P120" s="164">
        <v>0.08</v>
      </c>
    </row>
    <row r="121" spans="3:23" x14ac:dyDescent="0.3">
      <c r="C121" s="116"/>
      <c r="D121" s="116"/>
      <c r="E121" s="116"/>
      <c r="F121" s="116"/>
      <c r="G121" s="116"/>
      <c r="H121" s="116"/>
      <c r="I121" s="116"/>
      <c r="J121" s="116"/>
      <c r="K121" s="128"/>
      <c r="L121" s="187"/>
      <c r="M121" s="188"/>
      <c r="N121" s="189"/>
      <c r="O121" s="190" t="s">
        <v>690</v>
      </c>
      <c r="P121" s="167">
        <v>0.05</v>
      </c>
    </row>
    <row r="122" spans="3:23" x14ac:dyDescent="0.3">
      <c r="C122" s="116"/>
      <c r="D122" s="116"/>
      <c r="E122" s="116"/>
      <c r="F122" s="116"/>
      <c r="G122" s="116"/>
      <c r="H122" s="116"/>
      <c r="I122" s="116"/>
      <c r="J122" s="116"/>
    </row>
  </sheetData>
  <sheetProtection algorithmName="SHA-512" hashValue="csE+nkcbSWnFvygo4hWMSA4PYXhX7QTgAfgd2AOgWOElVDrtT3P3A2swKRX7IrLxzdkTFiwTtlJ8yaaClL40kQ==" saltValue="ShEen/WHqqENhQzLi3iRBg==" spinCount="100000" sheet="1" objects="1" scenarios="1" selectLockedCells="1"/>
  <mergeCells count="3">
    <mergeCell ref="C57:O58"/>
    <mergeCell ref="C81:J82"/>
    <mergeCell ref="C2:K3"/>
  </mergeCells>
  <phoneticPr fontId="17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B0828-ACDD-4A9E-850A-B1E5C19D67D5}">
  <sheetPr>
    <tabColor theme="6"/>
  </sheetPr>
  <dimension ref="C2:S87"/>
  <sheetViews>
    <sheetView showGridLines="0" showRowColHeaders="0" zoomScale="90" zoomScaleNormal="90" workbookViewId="0">
      <selection activeCell="E16" sqref="E16"/>
    </sheetView>
  </sheetViews>
  <sheetFormatPr baseColWidth="10" defaultColWidth="12.33203125" defaultRowHeight="13.8" x14ac:dyDescent="0.3"/>
  <cols>
    <col min="1" max="2" width="12.33203125" style="22"/>
    <col min="3" max="3" width="3" style="22" bestFit="1" customWidth="1"/>
    <col min="4" max="4" width="39.33203125" style="22" customWidth="1"/>
    <col min="5" max="9" width="12.88671875" style="22" customWidth="1"/>
    <col min="10" max="10" width="14.33203125" style="22" customWidth="1"/>
    <col min="11" max="15" width="12.88671875" style="22" customWidth="1"/>
    <col min="16" max="16" width="12.5546875" style="22" bestFit="1" customWidth="1"/>
    <col min="17" max="17" width="12.33203125" style="22"/>
    <col min="18" max="18" width="13" style="22" bestFit="1" customWidth="1"/>
    <col min="19" max="16384" width="12.33203125" style="22"/>
  </cols>
  <sheetData>
    <row r="2" spans="4:19" ht="13.8" customHeight="1" x14ac:dyDescent="0.3">
      <c r="D2" s="497" t="s">
        <v>685</v>
      </c>
      <c r="E2" s="497"/>
      <c r="F2" s="497"/>
      <c r="G2" s="497"/>
      <c r="H2" s="497"/>
      <c r="I2" s="497"/>
      <c r="J2" s="497"/>
      <c r="K2" s="497"/>
      <c r="L2" s="211"/>
      <c r="M2" s="211"/>
      <c r="N2" s="211"/>
      <c r="O2" s="211"/>
      <c r="P2" s="211"/>
      <c r="Q2" s="18"/>
      <c r="R2" s="18"/>
      <c r="S2" s="18"/>
    </row>
    <row r="3" spans="4:19" ht="13.8" customHeight="1" x14ac:dyDescent="0.3">
      <c r="D3" s="497"/>
      <c r="E3" s="497"/>
      <c r="F3" s="497"/>
      <c r="G3" s="497"/>
      <c r="H3" s="497"/>
      <c r="I3" s="497"/>
      <c r="J3" s="497"/>
      <c r="K3" s="497"/>
      <c r="L3" s="211"/>
      <c r="M3" s="211"/>
      <c r="N3" s="211"/>
      <c r="O3" s="211"/>
      <c r="P3" s="211"/>
      <c r="Q3" s="18"/>
      <c r="R3" s="18"/>
      <c r="S3" s="18"/>
    </row>
    <row r="4" spans="4:19" x14ac:dyDescent="0.3">
      <c r="E4" s="27"/>
      <c r="F4" s="27"/>
      <c r="G4" s="25"/>
      <c r="H4" s="25"/>
      <c r="I4" s="25"/>
      <c r="J4" s="25"/>
    </row>
    <row r="5" spans="4:19" x14ac:dyDescent="0.3">
      <c r="D5" s="28" t="s">
        <v>672</v>
      </c>
      <c r="E5" s="107" t="s">
        <v>452</v>
      </c>
      <c r="F5" s="107" t="s">
        <v>379</v>
      </c>
      <c r="G5" s="107" t="s">
        <v>297</v>
      </c>
      <c r="H5" s="107" t="s">
        <v>446</v>
      </c>
      <c r="I5" s="107" t="s">
        <v>447</v>
      </c>
      <c r="J5" s="107" t="s">
        <v>448</v>
      </c>
    </row>
    <row r="6" spans="4:19" x14ac:dyDescent="0.3">
      <c r="D6" s="26" t="s">
        <v>484</v>
      </c>
      <c r="E6" s="201">
        <f>Parámetros!D9</f>
        <v>0</v>
      </c>
      <c r="F6" s="201"/>
      <c r="G6" s="201"/>
      <c r="H6" s="201"/>
      <c r="I6" s="201"/>
      <c r="J6" s="201"/>
    </row>
    <row r="7" spans="4:19" x14ac:dyDescent="0.3">
      <c r="D7" s="33" t="s">
        <v>485</v>
      </c>
      <c r="E7" s="202">
        <f t="shared" ref="E7:J7" si="0">SUM(E6:E6)</f>
        <v>0</v>
      </c>
      <c r="F7" s="202">
        <f t="shared" si="0"/>
        <v>0</v>
      </c>
      <c r="G7" s="202">
        <f t="shared" si="0"/>
        <v>0</v>
      </c>
      <c r="H7" s="202">
        <f t="shared" si="0"/>
        <v>0</v>
      </c>
      <c r="I7" s="202">
        <f t="shared" si="0"/>
        <v>0</v>
      </c>
      <c r="J7" s="202">
        <f t="shared" si="0"/>
        <v>0</v>
      </c>
      <c r="K7" s="24" t="s">
        <v>665</v>
      </c>
    </row>
    <row r="8" spans="4:19" x14ac:dyDescent="0.3">
      <c r="D8" s="26" t="s">
        <v>662</v>
      </c>
      <c r="E8" s="203"/>
      <c r="F8" s="204">
        <f t="shared" ref="F8:J8" si="1">E50</f>
        <v>0</v>
      </c>
      <c r="G8" s="204" t="e">
        <f t="shared" si="1"/>
        <v>#DIV/0!</v>
      </c>
      <c r="H8" s="204" t="e">
        <f t="shared" si="1"/>
        <v>#DIV/0!</v>
      </c>
      <c r="I8" s="204" t="e">
        <f t="shared" si="1"/>
        <v>#DIV/0!</v>
      </c>
      <c r="J8" s="204" t="e">
        <f t="shared" si="1"/>
        <v>#DIV/0!</v>
      </c>
      <c r="K8" s="204" t="e">
        <f t="shared" ref="K8:K14" si="2">SUM(F8:J8)</f>
        <v>#DIV/0!</v>
      </c>
      <c r="L8" s="104" t="e">
        <f t="shared" ref="L8:L13" si="3">K8/$K$8</f>
        <v>#DIV/0!</v>
      </c>
    </row>
    <row r="9" spans="4:19" x14ac:dyDescent="0.3">
      <c r="D9" s="26" t="s">
        <v>663</v>
      </c>
      <c r="E9" s="203"/>
      <c r="F9" s="204" t="e">
        <f t="shared" ref="F9:J9" si="4">E54</f>
        <v>#DIV/0!</v>
      </c>
      <c r="G9" s="204" t="e">
        <f t="shared" si="4"/>
        <v>#DIV/0!</v>
      </c>
      <c r="H9" s="204" t="e">
        <f t="shared" si="4"/>
        <v>#DIV/0!</v>
      </c>
      <c r="I9" s="204" t="e">
        <f t="shared" si="4"/>
        <v>#DIV/0!</v>
      </c>
      <c r="J9" s="204" t="e">
        <f t="shared" si="4"/>
        <v>#DIV/0!</v>
      </c>
      <c r="K9" s="204" t="e">
        <f t="shared" si="2"/>
        <v>#DIV/0!</v>
      </c>
      <c r="L9" s="104" t="e">
        <f t="shared" si="3"/>
        <v>#DIV/0!</v>
      </c>
    </row>
    <row r="10" spans="4:19" x14ac:dyDescent="0.3">
      <c r="D10" s="26" t="s">
        <v>664</v>
      </c>
      <c r="E10" s="203"/>
      <c r="F10" s="204" t="e">
        <f t="shared" ref="F10:J10" si="5">E83-E82</f>
        <v>#DIV/0!</v>
      </c>
      <c r="G10" s="204" t="e">
        <f t="shared" si="5"/>
        <v>#DIV/0!</v>
      </c>
      <c r="H10" s="204" t="e">
        <f t="shared" si="5"/>
        <v>#DIV/0!</v>
      </c>
      <c r="I10" s="204" t="e">
        <f t="shared" si="5"/>
        <v>#DIV/0!</v>
      </c>
      <c r="J10" s="204" t="e">
        <f t="shared" si="5"/>
        <v>#DIV/0!</v>
      </c>
      <c r="K10" s="204" t="e">
        <f t="shared" si="2"/>
        <v>#DIV/0!</v>
      </c>
      <c r="L10" s="104" t="e">
        <f t="shared" si="3"/>
        <v>#DIV/0!</v>
      </c>
    </row>
    <row r="11" spans="4:19" x14ac:dyDescent="0.3">
      <c r="D11" s="26" t="s">
        <v>264</v>
      </c>
      <c r="E11" s="204"/>
      <c r="F11" s="204" t="e">
        <f>E82</f>
        <v>#DIV/0!</v>
      </c>
      <c r="G11" s="204" t="e">
        <f t="shared" ref="G11:J11" si="6">F82</f>
        <v>#DIV/0!</v>
      </c>
      <c r="H11" s="204" t="e">
        <f t="shared" si="6"/>
        <v>#DIV/0!</v>
      </c>
      <c r="I11" s="204" t="e">
        <f t="shared" si="6"/>
        <v>#DIV/0!</v>
      </c>
      <c r="J11" s="204" t="e">
        <f t="shared" si="6"/>
        <v>#DIV/0!</v>
      </c>
      <c r="K11" s="204" t="e">
        <f t="shared" si="2"/>
        <v>#DIV/0!</v>
      </c>
      <c r="L11" s="104" t="e">
        <f t="shared" si="3"/>
        <v>#DIV/0!</v>
      </c>
    </row>
    <row r="12" spans="4:19" x14ac:dyDescent="0.3">
      <c r="D12" s="33" t="s">
        <v>714</v>
      </c>
      <c r="E12" s="202">
        <f>Inversionista!P114-Inversionista!P114</f>
        <v>0</v>
      </c>
      <c r="F12" s="202" t="e">
        <f>F8-F9-F10-F11</f>
        <v>#DIV/0!</v>
      </c>
      <c r="G12" s="202" t="e">
        <f t="shared" ref="G12:J12" si="7">G8-G9-G10-G11</f>
        <v>#DIV/0!</v>
      </c>
      <c r="H12" s="202" t="e">
        <f t="shared" si="7"/>
        <v>#DIV/0!</v>
      </c>
      <c r="I12" s="202" t="e">
        <f t="shared" si="7"/>
        <v>#DIV/0!</v>
      </c>
      <c r="J12" s="202" t="e">
        <f t="shared" si="7"/>
        <v>#DIV/0!</v>
      </c>
      <c r="K12" s="204" t="e">
        <f t="shared" si="2"/>
        <v>#DIV/0!</v>
      </c>
      <c r="L12" s="104" t="e">
        <f t="shared" si="3"/>
        <v>#DIV/0!</v>
      </c>
    </row>
    <row r="13" spans="4:19" x14ac:dyDescent="0.3">
      <c r="D13" s="152" t="s">
        <v>715</v>
      </c>
      <c r="E13" s="205">
        <f>E7*-1</f>
        <v>0</v>
      </c>
      <c r="F13" s="205" t="e">
        <f>F8-F9-F10+E61+E79-F11</f>
        <v>#DIV/0!</v>
      </c>
      <c r="G13" s="205" t="e">
        <f>G8-G9-G10+F61+F79-G11</f>
        <v>#DIV/0!</v>
      </c>
      <c r="H13" s="205" t="e">
        <f>H8-H9-H10+G61+G79-H11</f>
        <v>#DIV/0!</v>
      </c>
      <c r="I13" s="205" t="e">
        <f>I8-I9-I10+H61+H79-I11</f>
        <v>#DIV/0!</v>
      </c>
      <c r="J13" s="205" t="e">
        <f>J8-J9-J10+I61+I79-J11</f>
        <v>#DIV/0!</v>
      </c>
      <c r="K13" s="204" t="e">
        <f t="shared" si="2"/>
        <v>#DIV/0!</v>
      </c>
      <c r="L13" s="104" t="e">
        <f t="shared" si="3"/>
        <v>#DIV/0!</v>
      </c>
    </row>
    <row r="14" spans="4:19" x14ac:dyDescent="0.3">
      <c r="D14" s="33" t="s">
        <v>718</v>
      </c>
      <c r="E14" s="205">
        <f>E13</f>
        <v>0</v>
      </c>
      <c r="F14" s="205">
        <f>Inversionista!E8+Inversionista!E111</f>
        <v>0</v>
      </c>
      <c r="G14" s="205" t="e">
        <f>Inversionista!F8+Inversionista!F111</f>
        <v>#DIV/0!</v>
      </c>
      <c r="H14" s="205" t="e">
        <f>Inversionista!G8+Inversionista!G111</f>
        <v>#DIV/0!</v>
      </c>
      <c r="I14" s="205" t="e">
        <f>Inversionista!H8+Inversionista!H111</f>
        <v>#DIV/0!</v>
      </c>
      <c r="J14" s="205" t="e">
        <f>Inversionista!I8+Inversionista!I111</f>
        <v>#DIV/0!</v>
      </c>
      <c r="K14" s="204" t="e">
        <f t="shared" si="2"/>
        <v>#DIV/0!</v>
      </c>
      <c r="L14" s="151"/>
    </row>
    <row r="15" spans="4:19" x14ac:dyDescent="0.3">
      <c r="F15" s="151"/>
      <c r="G15" s="151"/>
      <c r="H15" s="151"/>
      <c r="I15" s="151"/>
      <c r="J15" s="151"/>
      <c r="K15" s="151" t="e">
        <f>K13-K12</f>
        <v>#DIV/0!</v>
      </c>
    </row>
    <row r="16" spans="4:19" x14ac:dyDescent="0.3">
      <c r="D16" s="22" t="s">
        <v>486</v>
      </c>
      <c r="E16" s="493">
        <v>0.14000000000000001</v>
      </c>
    </row>
    <row r="17" spans="4:11" x14ac:dyDescent="0.3">
      <c r="D17" s="498" t="s">
        <v>719</v>
      </c>
      <c r="E17" s="498"/>
      <c r="F17" s="498"/>
      <c r="G17" s="498"/>
      <c r="H17" s="498"/>
      <c r="I17" s="498"/>
      <c r="J17" s="498"/>
    </row>
    <row r="18" spans="4:11" x14ac:dyDescent="0.3">
      <c r="D18" s="30" t="s">
        <v>487</v>
      </c>
      <c r="E18" s="35" t="s">
        <v>452</v>
      </c>
      <c r="F18" s="35" t="str">
        <f t="shared" ref="F18:J18" si="8">E49</f>
        <v>Año 1</v>
      </c>
      <c r="G18" s="35" t="str">
        <f t="shared" si="8"/>
        <v>Año 2</v>
      </c>
      <c r="H18" s="35" t="str">
        <f t="shared" si="8"/>
        <v>Año 3</v>
      </c>
      <c r="I18" s="35" t="str">
        <f t="shared" si="8"/>
        <v>Año 4</v>
      </c>
      <c r="J18" s="35" t="str">
        <f t="shared" si="8"/>
        <v>Año 5</v>
      </c>
    </row>
    <row r="19" spans="4:11" x14ac:dyDescent="0.3">
      <c r="D19" s="36" t="s">
        <v>722</v>
      </c>
      <c r="E19" s="36">
        <f>E12</f>
        <v>0</v>
      </c>
      <c r="F19" s="36" t="e">
        <f>F12/(1+$E$16)^1</f>
        <v>#DIV/0!</v>
      </c>
      <c r="G19" s="36" t="e">
        <f>G12/(1+$E$16)^2</f>
        <v>#DIV/0!</v>
      </c>
      <c r="H19" s="36" t="e">
        <f>H12/(1+$E$16)^3</f>
        <v>#DIV/0!</v>
      </c>
      <c r="I19" s="36" t="e">
        <f>I12/(1+$E$16)^4</f>
        <v>#DIV/0!</v>
      </c>
      <c r="J19" s="37" t="e">
        <f>J12/(1+$E$16)^5</f>
        <v>#DIV/0!</v>
      </c>
      <c r="K19" s="193" t="e">
        <f>SUM(E19:J19)</f>
        <v>#DIV/0!</v>
      </c>
    </row>
    <row r="20" spans="4:11" x14ac:dyDescent="0.3">
      <c r="D20" s="36" t="s">
        <v>488</v>
      </c>
      <c r="E20" s="37" t="e">
        <f>NPV(E16,E12:J12)</f>
        <v>#DIV/0!</v>
      </c>
      <c r="F20" s="38" t="s">
        <v>489</v>
      </c>
      <c r="G20" s="36"/>
      <c r="H20" s="36"/>
      <c r="I20" s="36"/>
      <c r="J20" s="36"/>
    </row>
    <row r="21" spans="4:11" x14ac:dyDescent="0.3">
      <c r="D21" s="36" t="s">
        <v>491</v>
      </c>
      <c r="E21" s="39" t="e">
        <f>SUM($F$12:$J$12)/$E$6</f>
        <v>#DIV/0!</v>
      </c>
      <c r="F21" s="38" t="s">
        <v>492</v>
      </c>
      <c r="G21" s="36"/>
      <c r="H21" s="36"/>
      <c r="I21" s="36"/>
      <c r="J21" s="36"/>
    </row>
    <row r="22" spans="4:11" x14ac:dyDescent="0.3">
      <c r="D22" s="36" t="s">
        <v>493</v>
      </c>
      <c r="E22" s="40" t="e">
        <f>IRR(E12:J12)</f>
        <v>#VALUE!</v>
      </c>
      <c r="F22" s="38" t="s">
        <v>494</v>
      </c>
      <c r="G22" s="36"/>
      <c r="H22" s="36"/>
      <c r="I22" s="36"/>
      <c r="J22" s="36"/>
    </row>
    <row r="23" spans="4:11" x14ac:dyDescent="0.3">
      <c r="D23" s="36" t="s">
        <v>725</v>
      </c>
      <c r="E23" s="200">
        <v>1</v>
      </c>
      <c r="F23" s="38" t="s">
        <v>726</v>
      </c>
      <c r="G23" s="36"/>
      <c r="H23" s="36"/>
      <c r="I23" s="36"/>
      <c r="J23" s="36"/>
    </row>
    <row r="25" spans="4:11" x14ac:dyDescent="0.3">
      <c r="D25" s="22" t="s">
        <v>486</v>
      </c>
      <c r="E25" s="34">
        <f>E16</f>
        <v>0.14000000000000001</v>
      </c>
    </row>
    <row r="26" spans="4:11" x14ac:dyDescent="0.3">
      <c r="D26" s="498" t="s">
        <v>720</v>
      </c>
      <c r="E26" s="498"/>
      <c r="F26" s="498"/>
      <c r="G26" s="498"/>
      <c r="H26" s="498"/>
      <c r="I26" s="498"/>
      <c r="J26" s="498"/>
    </row>
    <row r="27" spans="4:11" x14ac:dyDescent="0.3">
      <c r="D27" s="30" t="s">
        <v>487</v>
      </c>
      <c r="E27" s="35" t="s">
        <v>452</v>
      </c>
      <c r="F27" s="35" t="str">
        <f>F18</f>
        <v>Año 1</v>
      </c>
      <c r="G27" s="35" t="str">
        <f t="shared" ref="G27:J27" si="9">G18</f>
        <v>Año 2</v>
      </c>
      <c r="H27" s="35" t="str">
        <f t="shared" si="9"/>
        <v>Año 3</v>
      </c>
      <c r="I27" s="35" t="str">
        <f t="shared" si="9"/>
        <v>Año 4</v>
      </c>
      <c r="J27" s="35" t="str">
        <f t="shared" si="9"/>
        <v>Año 5</v>
      </c>
    </row>
    <row r="28" spans="4:11" x14ac:dyDescent="0.3">
      <c r="D28" s="36" t="s">
        <v>723</v>
      </c>
      <c r="E28" s="36">
        <f>E13</f>
        <v>0</v>
      </c>
      <c r="F28" s="36" t="e">
        <f>F13/(1+$E$16)^1</f>
        <v>#DIV/0!</v>
      </c>
      <c r="G28" s="36" t="e">
        <f>G13/(1+$E$16)^2</f>
        <v>#DIV/0!</v>
      </c>
      <c r="H28" s="36" t="e">
        <f>H13/(1+$E$16)^3</f>
        <v>#DIV/0!</v>
      </c>
      <c r="I28" s="36" t="e">
        <f>I13/(1+$E$16)^4</f>
        <v>#DIV/0!</v>
      </c>
      <c r="J28" s="36" t="e">
        <f>J13/(1+$E$16)^5</f>
        <v>#DIV/0!</v>
      </c>
      <c r="K28" s="193" t="e">
        <f>SUM(E28:J28)</f>
        <v>#DIV/0!</v>
      </c>
    </row>
    <row r="29" spans="4:11" x14ac:dyDescent="0.3">
      <c r="D29" s="36" t="s">
        <v>488</v>
      </c>
      <c r="E29" s="37" t="e">
        <f>NPV(E25,E13:J13)</f>
        <v>#DIV/0!</v>
      </c>
      <c r="F29" s="38" t="s">
        <v>489</v>
      </c>
      <c r="G29" s="36"/>
      <c r="H29" s="36"/>
      <c r="I29" s="36"/>
      <c r="J29" s="36"/>
    </row>
    <row r="30" spans="4:11" x14ac:dyDescent="0.3">
      <c r="D30" s="36" t="s">
        <v>491</v>
      </c>
      <c r="E30" s="39" t="e">
        <f>SUM($F$13:$J$13)/$E$6</f>
        <v>#DIV/0!</v>
      </c>
      <c r="F30" s="38" t="s">
        <v>492</v>
      </c>
      <c r="G30" s="36"/>
      <c r="H30" s="36"/>
      <c r="I30" s="36"/>
      <c r="J30" s="36"/>
    </row>
    <row r="31" spans="4:11" x14ac:dyDescent="0.3">
      <c r="D31" s="36" t="s">
        <v>493</v>
      </c>
      <c r="E31" s="40" t="e">
        <f>IRR(E13:J13)</f>
        <v>#VALUE!</v>
      </c>
      <c r="F31" s="38" t="s">
        <v>494</v>
      </c>
      <c r="G31" s="36"/>
      <c r="H31" s="36"/>
      <c r="I31" s="36"/>
      <c r="J31" s="36"/>
    </row>
    <row r="32" spans="4:11" x14ac:dyDescent="0.3">
      <c r="D32" s="36" t="s">
        <v>725</v>
      </c>
      <c r="E32" s="199">
        <v>2.7</v>
      </c>
      <c r="F32" s="38" t="s">
        <v>727</v>
      </c>
      <c r="G32" s="36"/>
      <c r="H32" s="36"/>
      <c r="I32" s="36"/>
      <c r="J32" s="36"/>
    </row>
    <row r="34" spans="4:19" x14ac:dyDescent="0.3">
      <c r="D34" s="22" t="s">
        <v>486</v>
      </c>
      <c r="E34" s="34">
        <f>E25</f>
        <v>0.14000000000000001</v>
      </c>
    </row>
    <row r="35" spans="4:19" x14ac:dyDescent="0.3">
      <c r="D35" s="498" t="s">
        <v>721</v>
      </c>
      <c r="E35" s="498"/>
      <c r="F35" s="498"/>
      <c r="G35" s="498"/>
      <c r="H35" s="498"/>
      <c r="I35" s="498"/>
      <c r="J35" s="498"/>
    </row>
    <row r="36" spans="4:19" x14ac:dyDescent="0.3">
      <c r="D36" s="30" t="s">
        <v>487</v>
      </c>
      <c r="E36" s="35" t="s">
        <v>452</v>
      </c>
      <c r="F36" s="35" t="str">
        <f>F27</f>
        <v>Año 1</v>
      </c>
      <c r="G36" s="35" t="str">
        <f t="shared" ref="G36:J36" si="10">G27</f>
        <v>Año 2</v>
      </c>
      <c r="H36" s="35" t="str">
        <f t="shared" si="10"/>
        <v>Año 3</v>
      </c>
      <c r="I36" s="35" t="str">
        <f t="shared" si="10"/>
        <v>Año 4</v>
      </c>
      <c r="J36" s="35" t="str">
        <f t="shared" si="10"/>
        <v>Año 5</v>
      </c>
    </row>
    <row r="37" spans="4:19" x14ac:dyDescent="0.3">
      <c r="D37" s="36" t="s">
        <v>724</v>
      </c>
      <c r="E37" s="36">
        <f>E14</f>
        <v>0</v>
      </c>
      <c r="F37" s="36">
        <f>F14/(1+$E$16)^1</f>
        <v>0</v>
      </c>
      <c r="G37" s="36" t="e">
        <f>G14/(1+$E$16)^2</f>
        <v>#DIV/0!</v>
      </c>
      <c r="H37" s="36" t="e">
        <f>H14/(1+$E$16)^3</f>
        <v>#DIV/0!</v>
      </c>
      <c r="I37" s="36" t="e">
        <f>I14/(1+$E$16)^4</f>
        <v>#DIV/0!</v>
      </c>
      <c r="J37" s="36" t="e">
        <f>J14/(1+$E$16)^5</f>
        <v>#DIV/0!</v>
      </c>
      <c r="K37" s="193" t="e">
        <f>SUM(E37:J37)</f>
        <v>#DIV/0!</v>
      </c>
    </row>
    <row r="38" spans="4:19" x14ac:dyDescent="0.3">
      <c r="D38" s="36" t="s">
        <v>488</v>
      </c>
      <c r="E38" s="37" t="e">
        <f>NPV(E34,E14:J14)</f>
        <v>#DIV/0!</v>
      </c>
      <c r="F38" s="38" t="s">
        <v>489</v>
      </c>
      <c r="G38" s="36"/>
      <c r="H38" s="36"/>
      <c r="I38" s="36"/>
      <c r="J38" s="36"/>
    </row>
    <row r="39" spans="4:19" x14ac:dyDescent="0.3">
      <c r="D39" s="36" t="s">
        <v>491</v>
      </c>
      <c r="E39" s="39" t="e">
        <f>SUM($F$14:$J$14)/$E$6</f>
        <v>#DIV/0!</v>
      </c>
      <c r="F39" s="38" t="s">
        <v>492</v>
      </c>
      <c r="G39" s="36"/>
      <c r="H39" s="36"/>
      <c r="I39" s="36"/>
      <c r="J39" s="36"/>
    </row>
    <row r="40" spans="4:19" x14ac:dyDescent="0.3">
      <c r="D40" s="36" t="s">
        <v>493</v>
      </c>
      <c r="E40" s="40" t="e">
        <f>IRR(E14:J14)</f>
        <v>#VALUE!</v>
      </c>
      <c r="F40" s="38" t="s">
        <v>494</v>
      </c>
      <c r="G40" s="36"/>
      <c r="H40" s="36"/>
      <c r="I40" s="36"/>
      <c r="J40" s="36"/>
    </row>
    <row r="41" spans="4:19" x14ac:dyDescent="0.3">
      <c r="D41" s="36" t="s">
        <v>725</v>
      </c>
      <c r="E41" s="200">
        <v>4</v>
      </c>
      <c r="F41" s="38" t="s">
        <v>727</v>
      </c>
      <c r="G41" s="36"/>
      <c r="H41" s="36"/>
      <c r="I41" s="36"/>
      <c r="J41" s="36"/>
    </row>
    <row r="45" spans="4:19" ht="13.8" customHeight="1" x14ac:dyDescent="0.3">
      <c r="D45" s="497" t="s">
        <v>712</v>
      </c>
      <c r="E45" s="497"/>
      <c r="F45" s="497"/>
      <c r="G45" s="497"/>
      <c r="H45" s="497"/>
      <c r="I45" s="497"/>
      <c r="J45" s="497"/>
      <c r="K45" s="497"/>
      <c r="L45" s="211"/>
      <c r="M45" s="211"/>
      <c r="N45" s="211"/>
      <c r="O45" s="211"/>
      <c r="P45" s="211"/>
      <c r="Q45" s="18"/>
      <c r="R45" s="18"/>
      <c r="S45" s="18"/>
    </row>
    <row r="46" spans="4:19" ht="13.8" customHeight="1" x14ac:dyDescent="0.3">
      <c r="D46" s="497"/>
      <c r="E46" s="497"/>
      <c r="F46" s="497"/>
      <c r="G46" s="497"/>
      <c r="H46" s="497"/>
      <c r="I46" s="497"/>
      <c r="J46" s="497"/>
      <c r="K46" s="497"/>
      <c r="L46" s="211"/>
      <c r="M46" s="211"/>
      <c r="N46" s="211"/>
      <c r="O46" s="211"/>
      <c r="P46" s="211"/>
      <c r="Q46" s="18"/>
      <c r="R46" s="18"/>
      <c r="S46" s="18"/>
    </row>
    <row r="47" spans="4:19" ht="13.8" customHeight="1" x14ac:dyDescent="0.3">
      <c r="D47" s="17"/>
      <c r="E47" s="17"/>
      <c r="F47" s="17"/>
      <c r="G47" s="17"/>
      <c r="H47" s="17"/>
      <c r="I47" s="17"/>
      <c r="J47" s="17"/>
      <c r="K47" s="17"/>
      <c r="L47" s="18"/>
      <c r="M47" s="18"/>
      <c r="N47" s="18"/>
    </row>
    <row r="48" spans="4:19" x14ac:dyDescent="0.3">
      <c r="D48" s="28" t="s">
        <v>580</v>
      </c>
      <c r="E48" s="102">
        <f>Parámetros!I7+Parámetros!I8</f>
        <v>0.04</v>
      </c>
      <c r="F48" s="102">
        <f>Parámetros!J7+Parámetros!J8</f>
        <v>0.04</v>
      </c>
      <c r="G48" s="102">
        <f>Parámetros!K7+Parámetros!K8</f>
        <v>0.04</v>
      </c>
      <c r="H48" s="102">
        <f>Parámetros!L7+Parámetros!L8</f>
        <v>0.04</v>
      </c>
      <c r="I48" s="102">
        <f>Parámetros!M7+Parámetros!M8</f>
        <v>0.04</v>
      </c>
      <c r="J48" s="29"/>
      <c r="K48" s="29"/>
      <c r="L48" s="29"/>
      <c r="M48" s="29"/>
    </row>
    <row r="49" spans="3:11" x14ac:dyDescent="0.3">
      <c r="D49" s="30"/>
      <c r="E49" s="30" t="s">
        <v>379</v>
      </c>
      <c r="F49" s="30" t="s">
        <v>297</v>
      </c>
      <c r="G49" s="30" t="s">
        <v>446</v>
      </c>
      <c r="H49" s="30" t="s">
        <v>447</v>
      </c>
      <c r="I49" s="30" t="s">
        <v>448</v>
      </c>
      <c r="J49" s="30" t="s">
        <v>581</v>
      </c>
    </row>
    <row r="50" spans="3:11" x14ac:dyDescent="0.3">
      <c r="D50" s="31" t="str">
        <f>Parámetros!GM6</f>
        <v>Relacionados a ingresos</v>
      </c>
      <c r="E50" s="32">
        <f>SUM(E51:E53)</f>
        <v>0</v>
      </c>
      <c r="F50" s="32" t="e">
        <f t="shared" ref="F50:J50" si="11">SUM(F51:F53)</f>
        <v>#DIV/0!</v>
      </c>
      <c r="G50" s="32" t="e">
        <f t="shared" si="11"/>
        <v>#DIV/0!</v>
      </c>
      <c r="H50" s="32" t="e">
        <f t="shared" si="11"/>
        <v>#DIV/0!</v>
      </c>
      <c r="I50" s="32" t="e">
        <f t="shared" si="11"/>
        <v>#DIV/0!</v>
      </c>
      <c r="J50" s="32" t="e">
        <f t="shared" si="11"/>
        <v>#DIV/0!</v>
      </c>
      <c r="K50" s="106" t="e">
        <f>J50/$J$50</f>
        <v>#DIV/0!</v>
      </c>
    </row>
    <row r="51" spans="3:11" x14ac:dyDescent="0.3">
      <c r="C51" s="22">
        <f>Parámetros!GL7</f>
        <v>1</v>
      </c>
      <c r="D51" s="22" t="str">
        <f>Parámetros!GM7</f>
        <v>Ventas</v>
      </c>
      <c r="E51" s="27">
        <f>Parámetros!GZ7</f>
        <v>0</v>
      </c>
      <c r="F51" s="25" t="e">
        <f>Parámetros!GI6</f>
        <v>#DIV/0!</v>
      </c>
      <c r="G51" s="25" t="e">
        <f>Parámetros!GI37</f>
        <v>#DIV/0!</v>
      </c>
      <c r="H51" s="25" t="e">
        <f>Parámetros!GI68</f>
        <v>#DIV/0!</v>
      </c>
      <c r="I51" s="25" t="e">
        <f>Parámetros!GI99</f>
        <v>#DIV/0!</v>
      </c>
      <c r="J51" s="103" t="e">
        <f t="shared" ref="J51:J83" si="12">SUM(E51:I51)</f>
        <v>#DIV/0!</v>
      </c>
      <c r="K51" s="104" t="e">
        <f t="shared" ref="K51:K84" si="13">J51/$J$50</f>
        <v>#DIV/0!</v>
      </c>
    </row>
    <row r="52" spans="3:11" x14ac:dyDescent="0.3">
      <c r="C52" s="22">
        <f>Parámetros!GL8</f>
        <v>2</v>
      </c>
      <c r="D52" s="22" t="str">
        <f>Parámetros!GM8</f>
        <v>CxC</v>
      </c>
      <c r="E52" s="27">
        <f>Parámetros!GZ8</f>
        <v>0</v>
      </c>
      <c r="F52" s="25"/>
      <c r="G52" s="25"/>
      <c r="H52" s="25"/>
      <c r="I52" s="25"/>
      <c r="J52" s="103">
        <f t="shared" si="12"/>
        <v>0</v>
      </c>
      <c r="K52" s="104" t="e">
        <f t="shared" si="13"/>
        <v>#DIV/0!</v>
      </c>
    </row>
    <row r="53" spans="3:11" x14ac:dyDescent="0.3">
      <c r="C53" s="22">
        <f>Parámetros!GL9</f>
        <v>3</v>
      </c>
      <c r="D53" s="22" t="str">
        <f>Parámetros!GM9</f>
        <v>Apalancamientos</v>
      </c>
      <c r="E53" s="27">
        <f>Parámetros!GZ9</f>
        <v>0</v>
      </c>
      <c r="F53" s="25"/>
      <c r="G53" s="25"/>
      <c r="H53" s="25"/>
      <c r="I53" s="25"/>
      <c r="J53" s="103">
        <f t="shared" si="12"/>
        <v>0</v>
      </c>
      <c r="K53" s="104" t="e">
        <f t="shared" si="13"/>
        <v>#DIV/0!</v>
      </c>
    </row>
    <row r="54" spans="3:11" x14ac:dyDescent="0.3">
      <c r="D54" s="31" t="str">
        <f>Parámetros!GM10</f>
        <v>Relacionados a costos</v>
      </c>
      <c r="E54" s="32" t="e">
        <f>SUM(E55:E57)</f>
        <v>#DIV/0!</v>
      </c>
      <c r="F54" s="32" t="e">
        <f t="shared" ref="F54:I54" si="14">SUM(F55:F57)</f>
        <v>#DIV/0!</v>
      </c>
      <c r="G54" s="32" t="e">
        <f t="shared" si="14"/>
        <v>#DIV/0!</v>
      </c>
      <c r="H54" s="32" t="e">
        <f t="shared" si="14"/>
        <v>#DIV/0!</v>
      </c>
      <c r="I54" s="32" t="e">
        <f t="shared" si="14"/>
        <v>#DIV/0!</v>
      </c>
      <c r="J54" s="105" t="e">
        <f t="shared" si="12"/>
        <v>#DIV/0!</v>
      </c>
      <c r="K54" s="106" t="e">
        <f t="shared" si="13"/>
        <v>#DIV/0!</v>
      </c>
    </row>
    <row r="55" spans="3:11" x14ac:dyDescent="0.3">
      <c r="C55" s="22">
        <f>Parámetros!GL11</f>
        <v>4</v>
      </c>
      <c r="D55" s="22" t="str">
        <f>Parámetros!GM11</f>
        <v>Compras</v>
      </c>
      <c r="E55" s="27">
        <f>Parámetros!GZ11</f>
        <v>0</v>
      </c>
      <c r="F55" s="25" t="e">
        <f>Parámetros!GI9</f>
        <v>#DIV/0!</v>
      </c>
      <c r="G55" s="25" t="e">
        <f>Parámetros!GI40</f>
        <v>#DIV/0!</v>
      </c>
      <c r="H55" s="25" t="e">
        <f>Parámetros!GI71</f>
        <v>#DIV/0!</v>
      </c>
      <c r="I55" s="25" t="e">
        <f>Parámetros!GI102</f>
        <v>#DIV/0!</v>
      </c>
      <c r="J55" s="103" t="e">
        <f t="shared" si="12"/>
        <v>#DIV/0!</v>
      </c>
      <c r="K55" s="104" t="e">
        <f t="shared" si="13"/>
        <v>#DIV/0!</v>
      </c>
    </row>
    <row r="56" spans="3:11" x14ac:dyDescent="0.3">
      <c r="C56" s="22">
        <f>Parámetros!GL12</f>
        <v>5</v>
      </c>
      <c r="D56" s="22" t="str">
        <f>Parámetros!GM12</f>
        <v>Consumibles</v>
      </c>
      <c r="E56" s="27" t="e">
        <f>Parámetros!GZ12</f>
        <v>#DIV/0!</v>
      </c>
      <c r="F56" s="27" t="e">
        <f>Parámetros!$HA$12*'Flujo Operativo'!F51</f>
        <v>#DIV/0!</v>
      </c>
      <c r="G56" s="27" t="e">
        <f>Parámetros!$HA$12*'Flujo Operativo'!G51</f>
        <v>#DIV/0!</v>
      </c>
      <c r="H56" s="27" t="e">
        <f>Parámetros!$HA$12*'Flujo Operativo'!H51</f>
        <v>#DIV/0!</v>
      </c>
      <c r="I56" s="27" t="e">
        <f>Parámetros!$HA$12*'Flujo Operativo'!I51</f>
        <v>#DIV/0!</v>
      </c>
      <c r="J56" s="103" t="e">
        <f t="shared" si="12"/>
        <v>#DIV/0!</v>
      </c>
      <c r="K56" s="104" t="e">
        <f t="shared" si="13"/>
        <v>#DIV/0!</v>
      </c>
    </row>
    <row r="57" spans="3:11" x14ac:dyDescent="0.3">
      <c r="C57" s="22">
        <f>Parámetros!GL13</f>
        <v>6</v>
      </c>
      <c r="D57" s="22" t="str">
        <f>Parámetros!GM13</f>
        <v>Gas</v>
      </c>
      <c r="E57" s="27">
        <f>Parámetros!GZ13</f>
        <v>0</v>
      </c>
      <c r="F57" s="27" t="e">
        <f>Parámetros!$HA$13*'Flujo Operativo'!F51</f>
        <v>#DIV/0!</v>
      </c>
      <c r="G57" s="27" t="e">
        <f>Parámetros!$HA$13*'Flujo Operativo'!G51</f>
        <v>#DIV/0!</v>
      </c>
      <c r="H57" s="27" t="e">
        <f>Parámetros!$HA$13*'Flujo Operativo'!H51</f>
        <v>#DIV/0!</v>
      </c>
      <c r="I57" s="27" t="e">
        <f>Parámetros!$HA$13*'Flujo Operativo'!I51</f>
        <v>#DIV/0!</v>
      </c>
      <c r="J57" s="103" t="e">
        <f t="shared" si="12"/>
        <v>#DIV/0!</v>
      </c>
      <c r="K57" s="104" t="e">
        <f t="shared" si="13"/>
        <v>#DIV/0!</v>
      </c>
    </row>
    <row r="58" spans="3:11" x14ac:dyDescent="0.3">
      <c r="C58" s="22">
        <f>Parámetros!GL14</f>
        <v>7</v>
      </c>
      <c r="D58" s="22" t="str">
        <f>Parámetros!GM14</f>
        <v>CxP</v>
      </c>
      <c r="E58" s="27">
        <f>Parámetros!GZ14</f>
        <v>0</v>
      </c>
      <c r="F58" s="27" t="e">
        <f>F51*Parámetros!$HA$14</f>
        <v>#DIV/0!</v>
      </c>
      <c r="G58" s="27" t="e">
        <f>G51*Parámetros!$HA$14</f>
        <v>#DIV/0!</v>
      </c>
      <c r="H58" s="27" t="e">
        <f>H51*Parámetros!$HA$14</f>
        <v>#DIV/0!</v>
      </c>
      <c r="I58" s="27" t="e">
        <f>I51*Parámetros!$HA$14</f>
        <v>#DIV/0!</v>
      </c>
      <c r="J58" s="103" t="e">
        <f t="shared" si="12"/>
        <v>#DIV/0!</v>
      </c>
      <c r="K58" s="104" t="e">
        <f t="shared" si="13"/>
        <v>#DIV/0!</v>
      </c>
    </row>
    <row r="59" spans="3:11" x14ac:dyDescent="0.3">
      <c r="D59" s="31" t="str">
        <f>Parámetros!GM15</f>
        <v>Relacionados a gastos de ventas</v>
      </c>
      <c r="E59" s="32">
        <f>SUM(E60:E62)</f>
        <v>0</v>
      </c>
      <c r="F59" s="32" t="e">
        <f t="shared" ref="F59:I59" si="15">SUM(F60:F62)</f>
        <v>#DIV/0!</v>
      </c>
      <c r="G59" s="32" t="e">
        <f t="shared" si="15"/>
        <v>#DIV/0!</v>
      </c>
      <c r="H59" s="32" t="e">
        <f t="shared" si="15"/>
        <v>#DIV/0!</v>
      </c>
      <c r="I59" s="32" t="e">
        <f t="shared" si="15"/>
        <v>#DIV/0!</v>
      </c>
      <c r="J59" s="105" t="e">
        <f t="shared" si="12"/>
        <v>#DIV/0!</v>
      </c>
      <c r="K59" s="106" t="e">
        <f t="shared" si="13"/>
        <v>#DIV/0!</v>
      </c>
    </row>
    <row r="60" spans="3:11" x14ac:dyDescent="0.3">
      <c r="C60" s="22">
        <f>Parámetros!GL16</f>
        <v>8</v>
      </c>
      <c r="D60" s="22" t="str">
        <f>Parámetros!GM16</f>
        <v>Publicidad y Mercadeo</v>
      </c>
      <c r="E60" s="27">
        <f>Parámetros!GZ16</f>
        <v>0</v>
      </c>
      <c r="F60" s="27" t="e">
        <f>F51*Parámetros!$HA$16</f>
        <v>#DIV/0!</v>
      </c>
      <c r="G60" s="27" t="e">
        <f>G51*Parámetros!$HA$16</f>
        <v>#DIV/0!</v>
      </c>
      <c r="H60" s="27" t="e">
        <f>H51*Parámetros!$HA$16</f>
        <v>#DIV/0!</v>
      </c>
      <c r="I60" s="27" t="e">
        <f>I51*Parámetros!$HA$16</f>
        <v>#DIV/0!</v>
      </c>
      <c r="J60" s="103" t="e">
        <f t="shared" si="12"/>
        <v>#DIV/0!</v>
      </c>
      <c r="K60" s="104" t="e">
        <f t="shared" si="13"/>
        <v>#DIV/0!</v>
      </c>
    </row>
    <row r="61" spans="3:11" x14ac:dyDescent="0.3">
      <c r="C61" s="22">
        <f>Parámetros!GL17</f>
        <v>9</v>
      </c>
      <c r="D61" s="22" t="str">
        <f>Parámetros!GM17</f>
        <v>Regalias</v>
      </c>
      <c r="E61" s="27">
        <f>Parámetros!GZ17</f>
        <v>0</v>
      </c>
      <c r="F61" s="27" t="e">
        <f>Parámetros!GI15</f>
        <v>#DIV/0!</v>
      </c>
      <c r="G61" s="27" t="e">
        <f>Parámetros!GI46</f>
        <v>#DIV/0!</v>
      </c>
      <c r="H61" s="27" t="e">
        <f>Parámetros!GI77</f>
        <v>#DIV/0!</v>
      </c>
      <c r="I61" s="27" t="e">
        <f>Parámetros!GI108</f>
        <v>#DIV/0!</v>
      </c>
      <c r="J61" s="103" t="e">
        <f t="shared" si="12"/>
        <v>#DIV/0!</v>
      </c>
      <c r="K61" s="104" t="e">
        <f t="shared" si="13"/>
        <v>#DIV/0!</v>
      </c>
    </row>
    <row r="62" spans="3:11" x14ac:dyDescent="0.3">
      <c r="C62" s="22">
        <f>Parámetros!GL18</f>
        <v>10</v>
      </c>
      <c r="D62" s="22" t="str">
        <f>Parámetros!GM18</f>
        <v>CxP</v>
      </c>
      <c r="E62" s="27">
        <f>Parámetros!GZ18</f>
        <v>0</v>
      </c>
      <c r="F62" s="27" t="e">
        <f>F51*Parámetros!$HA$18</f>
        <v>#DIV/0!</v>
      </c>
      <c r="G62" s="27" t="e">
        <f>G51*Parámetros!$HA$18</f>
        <v>#DIV/0!</v>
      </c>
      <c r="H62" s="27" t="e">
        <f>H51*Parámetros!$HA$18</f>
        <v>#DIV/0!</v>
      </c>
      <c r="I62" s="27" t="e">
        <f>I51*Parámetros!$HA$18</f>
        <v>#DIV/0!</v>
      </c>
      <c r="J62" s="103" t="e">
        <f t="shared" si="12"/>
        <v>#DIV/0!</v>
      </c>
      <c r="K62" s="104" t="e">
        <f t="shared" si="13"/>
        <v>#DIV/0!</v>
      </c>
    </row>
    <row r="63" spans="3:11" x14ac:dyDescent="0.3">
      <c r="D63" s="31" t="str">
        <f>Parámetros!GM19</f>
        <v>Relacionados a gastos de administración</v>
      </c>
      <c r="E63" s="32" t="e">
        <f>SUM(E64:E76)</f>
        <v>#DIV/0!</v>
      </c>
      <c r="F63" s="32" t="e">
        <f t="shared" ref="F63:I63" si="16">SUM(F64:F76)</f>
        <v>#DIV/0!</v>
      </c>
      <c r="G63" s="32" t="e">
        <f t="shared" si="16"/>
        <v>#DIV/0!</v>
      </c>
      <c r="H63" s="32" t="e">
        <f t="shared" si="16"/>
        <v>#DIV/0!</v>
      </c>
      <c r="I63" s="32" t="e">
        <f t="shared" si="16"/>
        <v>#DIV/0!</v>
      </c>
      <c r="J63" s="105" t="e">
        <f t="shared" si="12"/>
        <v>#DIV/0!</v>
      </c>
      <c r="K63" s="106" t="e">
        <f t="shared" si="13"/>
        <v>#DIV/0!</v>
      </c>
    </row>
    <row r="64" spans="3:11" x14ac:dyDescent="0.3">
      <c r="C64" s="22">
        <f>Parámetros!GL20</f>
        <v>11</v>
      </c>
      <c r="D64" s="22" t="str">
        <f>Parámetros!GM20</f>
        <v>Salarios y Prestaciones</v>
      </c>
      <c r="E64" s="27" t="e">
        <f>Parámetros!GZ20</f>
        <v>#DIV/0!</v>
      </c>
      <c r="F64" s="27" t="e">
        <f t="shared" ref="F64:I64" si="17">E64*(1+$F$48)</f>
        <v>#DIV/0!</v>
      </c>
      <c r="G64" s="27" t="e">
        <f t="shared" si="17"/>
        <v>#DIV/0!</v>
      </c>
      <c r="H64" s="27" t="e">
        <f t="shared" si="17"/>
        <v>#DIV/0!</v>
      </c>
      <c r="I64" s="27" t="e">
        <f t="shared" si="17"/>
        <v>#DIV/0!</v>
      </c>
      <c r="J64" s="103" t="e">
        <f t="shared" si="12"/>
        <v>#DIV/0!</v>
      </c>
      <c r="K64" s="104" t="e">
        <f t="shared" si="13"/>
        <v>#DIV/0!</v>
      </c>
    </row>
    <row r="65" spans="3:14" x14ac:dyDescent="0.3">
      <c r="C65" s="22">
        <f>Parámetros!GL21</f>
        <v>12</v>
      </c>
      <c r="D65" s="22" t="str">
        <f>Parámetros!GM21</f>
        <v>Capacitaciones</v>
      </c>
      <c r="E65" s="27">
        <f>Parámetros!GZ21</f>
        <v>0</v>
      </c>
      <c r="F65" s="27">
        <f t="shared" ref="F65:I80" si="18">E65*(1+$F$48)</f>
        <v>0</v>
      </c>
      <c r="G65" s="27">
        <f t="shared" si="18"/>
        <v>0</v>
      </c>
      <c r="H65" s="27">
        <f t="shared" ref="H65:I65" si="19">G65*(1+$F$48)</f>
        <v>0</v>
      </c>
      <c r="I65" s="27">
        <f t="shared" si="19"/>
        <v>0</v>
      </c>
      <c r="J65" s="103">
        <f t="shared" si="12"/>
        <v>0</v>
      </c>
      <c r="K65" s="104" t="e">
        <f t="shared" si="13"/>
        <v>#DIV/0!</v>
      </c>
    </row>
    <row r="66" spans="3:14" x14ac:dyDescent="0.3">
      <c r="C66" s="22">
        <f>Parámetros!GL22</f>
        <v>13</v>
      </c>
      <c r="D66" s="22" t="str">
        <f>Parámetros!GM22</f>
        <v>Asesoría y Asistencia Técnica</v>
      </c>
      <c r="E66" s="27">
        <f>Parámetros!GZ22</f>
        <v>0</v>
      </c>
      <c r="F66" s="27">
        <f t="shared" si="18"/>
        <v>0</v>
      </c>
      <c r="G66" s="27">
        <f t="shared" si="18"/>
        <v>0</v>
      </c>
      <c r="H66" s="27">
        <f t="shared" ref="H66:I66" si="20">G66*(1+$F$48)</f>
        <v>0</v>
      </c>
      <c r="I66" s="27">
        <f t="shared" si="20"/>
        <v>0</v>
      </c>
      <c r="J66" s="103">
        <f t="shared" si="12"/>
        <v>0</v>
      </c>
      <c r="K66" s="104" t="e">
        <f t="shared" si="13"/>
        <v>#DIV/0!</v>
      </c>
    </row>
    <row r="67" spans="3:14" x14ac:dyDescent="0.3">
      <c r="C67" s="22">
        <f>Parámetros!GL23</f>
        <v>14</v>
      </c>
      <c r="D67" s="22" t="str">
        <f>Parámetros!GM23</f>
        <v>Mantenimiento y Reparaciones</v>
      </c>
      <c r="E67" s="27">
        <f>Parámetros!GZ23</f>
        <v>0</v>
      </c>
      <c r="F67" s="27">
        <f t="shared" si="18"/>
        <v>0</v>
      </c>
      <c r="G67" s="27">
        <f t="shared" si="18"/>
        <v>0</v>
      </c>
      <c r="H67" s="27">
        <f t="shared" ref="H67:I67" si="21">G67*(1+$F$48)</f>
        <v>0</v>
      </c>
      <c r="I67" s="27">
        <f t="shared" si="21"/>
        <v>0</v>
      </c>
      <c r="J67" s="103">
        <f t="shared" si="12"/>
        <v>0</v>
      </c>
      <c r="K67" s="104" t="e">
        <f t="shared" si="13"/>
        <v>#DIV/0!</v>
      </c>
    </row>
    <row r="68" spans="3:14" x14ac:dyDescent="0.3">
      <c r="C68" s="22">
        <f>Parámetros!GL24</f>
        <v>15</v>
      </c>
      <c r="D68" s="22" t="str">
        <f>Parámetros!GM24</f>
        <v>Arrendamiento</v>
      </c>
      <c r="E68" s="27">
        <f>Parámetros!GZ24</f>
        <v>0</v>
      </c>
      <c r="F68" s="27">
        <f t="shared" si="18"/>
        <v>0</v>
      </c>
      <c r="G68" s="27">
        <f t="shared" si="18"/>
        <v>0</v>
      </c>
      <c r="H68" s="27">
        <f t="shared" ref="H68:I68" si="22">G68*(1+$F$48)</f>
        <v>0</v>
      </c>
      <c r="I68" s="27">
        <f t="shared" si="22"/>
        <v>0</v>
      </c>
      <c r="J68" s="103">
        <f t="shared" si="12"/>
        <v>0</v>
      </c>
      <c r="K68" s="104" t="e">
        <f t="shared" si="13"/>
        <v>#DIV/0!</v>
      </c>
      <c r="M68" s="22" t="s">
        <v>857</v>
      </c>
    </row>
    <row r="69" spans="3:14" x14ac:dyDescent="0.3">
      <c r="C69" s="22">
        <f>Parámetros!GL25</f>
        <v>16</v>
      </c>
      <c r="D69" s="22" t="str">
        <f>Parámetros!GM25</f>
        <v>Servicios Básicos</v>
      </c>
      <c r="E69" s="27">
        <f>Parámetros!GZ25</f>
        <v>0</v>
      </c>
      <c r="F69" s="27">
        <f t="shared" si="18"/>
        <v>0</v>
      </c>
      <c r="G69" s="27">
        <f t="shared" si="18"/>
        <v>0</v>
      </c>
      <c r="H69" s="27">
        <f t="shared" ref="H69:I69" si="23">G69*(1+$F$48)</f>
        <v>0</v>
      </c>
      <c r="I69" s="27">
        <f t="shared" si="23"/>
        <v>0</v>
      </c>
      <c r="J69" s="103">
        <f t="shared" si="12"/>
        <v>0</v>
      </c>
      <c r="K69" s="104" t="e">
        <f t="shared" si="13"/>
        <v>#DIV/0!</v>
      </c>
      <c r="M69" s="491">
        <f>1.14^5</f>
        <v>1.9254145823999995</v>
      </c>
      <c r="N69" s="22" t="s">
        <v>855</v>
      </c>
    </row>
    <row r="70" spans="3:14" x14ac:dyDescent="0.3">
      <c r="C70" s="22">
        <f>Parámetros!GL26</f>
        <v>17</v>
      </c>
      <c r="D70" s="22" t="str">
        <f>Parámetros!GM26</f>
        <v>Seguros</v>
      </c>
      <c r="E70" s="27">
        <f>Parámetros!GZ26</f>
        <v>0</v>
      </c>
      <c r="F70" s="27">
        <f t="shared" si="18"/>
        <v>0</v>
      </c>
      <c r="G70" s="27">
        <f t="shared" si="18"/>
        <v>0</v>
      </c>
      <c r="H70" s="27">
        <f t="shared" ref="H70:I70" si="24">G70*(1+$F$48)</f>
        <v>0</v>
      </c>
      <c r="I70" s="27">
        <f t="shared" si="24"/>
        <v>0</v>
      </c>
      <c r="J70" s="103">
        <f t="shared" si="12"/>
        <v>0</v>
      </c>
      <c r="K70" s="104" t="e">
        <f t="shared" si="13"/>
        <v>#DIV/0!</v>
      </c>
      <c r="M70" s="491">
        <v>1</v>
      </c>
      <c r="N70" s="22" t="s">
        <v>854</v>
      </c>
    </row>
    <row r="71" spans="3:14" x14ac:dyDescent="0.3">
      <c r="C71" s="22">
        <f>Parámetros!GL27</f>
        <v>18</v>
      </c>
      <c r="D71" s="22" t="str">
        <f>Parámetros!GM27</f>
        <v>Combustibles y Lubricantes</v>
      </c>
      <c r="E71" s="27">
        <f>Parámetros!GZ27</f>
        <v>0</v>
      </c>
      <c r="F71" s="27">
        <f t="shared" si="18"/>
        <v>0</v>
      </c>
      <c r="G71" s="27">
        <f t="shared" si="18"/>
        <v>0</v>
      </c>
      <c r="H71" s="27">
        <f t="shared" ref="H71:I71" si="25">G71*(1+$F$48)</f>
        <v>0</v>
      </c>
      <c r="I71" s="27">
        <f t="shared" si="25"/>
        <v>0</v>
      </c>
      <c r="J71" s="103">
        <f t="shared" si="12"/>
        <v>0</v>
      </c>
      <c r="K71" s="104" t="e">
        <f t="shared" si="13"/>
        <v>#DIV/0!</v>
      </c>
      <c r="M71" s="491">
        <f>M70/M69</f>
        <v>0.51936866435981566</v>
      </c>
      <c r="N71" s="22" t="s">
        <v>856</v>
      </c>
    </row>
    <row r="72" spans="3:14" x14ac:dyDescent="0.3">
      <c r="C72" s="22">
        <f>Parámetros!GL28</f>
        <v>19</v>
      </c>
      <c r="D72" s="22" t="str">
        <f>Parámetros!GM28</f>
        <v>Suministros</v>
      </c>
      <c r="E72" s="27" t="e">
        <f>Parámetros!GZ28</f>
        <v>#DIV/0!</v>
      </c>
      <c r="F72" s="27" t="e">
        <f t="shared" si="18"/>
        <v>#DIV/0!</v>
      </c>
      <c r="G72" s="27" t="e">
        <f t="shared" si="18"/>
        <v>#DIV/0!</v>
      </c>
      <c r="H72" s="27" t="e">
        <f t="shared" ref="H72:I72" si="26">G72*(1+$F$48)</f>
        <v>#DIV/0!</v>
      </c>
      <c r="I72" s="27" t="e">
        <f t="shared" si="26"/>
        <v>#DIV/0!</v>
      </c>
      <c r="J72" s="103" t="e">
        <f t="shared" si="12"/>
        <v>#DIV/0!</v>
      </c>
      <c r="K72" s="104" t="e">
        <f t="shared" si="13"/>
        <v>#DIV/0!</v>
      </c>
      <c r="M72" s="492">
        <f>M71/M69</f>
        <v>0.26974380951889887</v>
      </c>
      <c r="N72" s="22" t="s">
        <v>858</v>
      </c>
    </row>
    <row r="73" spans="3:14" x14ac:dyDescent="0.3">
      <c r="C73" s="22">
        <f>Parámetros!GL29</f>
        <v>20</v>
      </c>
      <c r="D73" s="22" t="str">
        <f>Parámetros!GM29</f>
        <v>Seguridad y Protección</v>
      </c>
      <c r="E73" s="27">
        <f>Parámetros!GZ29</f>
        <v>0</v>
      </c>
      <c r="F73" s="27">
        <f t="shared" si="18"/>
        <v>0</v>
      </c>
      <c r="G73" s="27">
        <f t="shared" si="18"/>
        <v>0</v>
      </c>
      <c r="H73" s="27">
        <f t="shared" ref="H73:I73" si="27">G73*(1+$F$48)</f>
        <v>0</v>
      </c>
      <c r="I73" s="27">
        <f t="shared" si="27"/>
        <v>0</v>
      </c>
      <c r="J73" s="103">
        <f t="shared" si="12"/>
        <v>0</v>
      </c>
      <c r="K73" s="104" t="e">
        <f t="shared" si="13"/>
        <v>#DIV/0!</v>
      </c>
    </row>
    <row r="74" spans="3:14" x14ac:dyDescent="0.3">
      <c r="C74" s="22">
        <f>Parámetros!GL30</f>
        <v>21</v>
      </c>
      <c r="D74" s="22" t="str">
        <f>Parámetros!GM30</f>
        <v>Reservas</v>
      </c>
      <c r="E74" s="27">
        <f>Parámetros!GZ30</f>
        <v>0</v>
      </c>
      <c r="F74" s="27">
        <f t="shared" si="18"/>
        <v>0</v>
      </c>
      <c r="G74" s="27">
        <f t="shared" si="18"/>
        <v>0</v>
      </c>
      <c r="H74" s="27">
        <f t="shared" ref="H74:I74" si="28">G74*(1+$F$48)</f>
        <v>0</v>
      </c>
      <c r="I74" s="27">
        <f t="shared" si="28"/>
        <v>0</v>
      </c>
      <c r="J74" s="103">
        <f t="shared" si="12"/>
        <v>0</v>
      </c>
      <c r="K74" s="104" t="e">
        <f t="shared" si="13"/>
        <v>#DIV/0!</v>
      </c>
    </row>
    <row r="75" spans="3:14" x14ac:dyDescent="0.3">
      <c r="C75" s="22">
        <f>Parámetros!GL31</f>
        <v>22</v>
      </c>
      <c r="D75" s="22" t="str">
        <f>Parámetros!GM31</f>
        <v>Servicios Diversos</v>
      </c>
      <c r="E75" s="27">
        <f>Parámetros!GZ31</f>
        <v>0</v>
      </c>
      <c r="F75" s="27">
        <f t="shared" si="18"/>
        <v>0</v>
      </c>
      <c r="G75" s="27">
        <f t="shared" si="18"/>
        <v>0</v>
      </c>
      <c r="H75" s="27">
        <f t="shared" ref="H75:I75" si="29">G75*(1+$F$48)</f>
        <v>0</v>
      </c>
      <c r="I75" s="27">
        <f t="shared" si="29"/>
        <v>0</v>
      </c>
      <c r="J75" s="103">
        <f t="shared" si="12"/>
        <v>0</v>
      </c>
      <c r="K75" s="104" t="e">
        <f t="shared" si="13"/>
        <v>#DIV/0!</v>
      </c>
    </row>
    <row r="76" spans="3:14" x14ac:dyDescent="0.3">
      <c r="C76" s="22">
        <f>Parámetros!GL32</f>
        <v>23</v>
      </c>
      <c r="D76" s="22" t="str">
        <f>Parámetros!GM32</f>
        <v>CxP</v>
      </c>
      <c r="E76" s="27">
        <f>Parámetros!GZ32</f>
        <v>0</v>
      </c>
      <c r="F76" s="27">
        <f t="shared" si="18"/>
        <v>0</v>
      </c>
      <c r="G76" s="27">
        <f t="shared" si="18"/>
        <v>0</v>
      </c>
      <c r="H76" s="27">
        <f t="shared" ref="H76:I76" si="30">G76*(1+$F$48)</f>
        <v>0</v>
      </c>
      <c r="I76" s="27">
        <f t="shared" si="30"/>
        <v>0</v>
      </c>
      <c r="J76" s="103">
        <f t="shared" si="12"/>
        <v>0</v>
      </c>
      <c r="K76" s="104" t="e">
        <f t="shared" si="13"/>
        <v>#DIV/0!</v>
      </c>
    </row>
    <row r="77" spans="3:14" x14ac:dyDescent="0.3">
      <c r="D77" s="31" t="str">
        <f>Parámetros!GM33</f>
        <v>Relacionados a gastos financieros</v>
      </c>
      <c r="E77" s="32">
        <f>SUM(E78:E79)</f>
        <v>0</v>
      </c>
      <c r="F77" s="32">
        <f t="shared" ref="F77:I77" si="31">SUM(F78:F79)</f>
        <v>0</v>
      </c>
      <c r="G77" s="32">
        <f t="shared" si="31"/>
        <v>0</v>
      </c>
      <c r="H77" s="32">
        <f t="shared" si="31"/>
        <v>0</v>
      </c>
      <c r="I77" s="32">
        <f t="shared" si="31"/>
        <v>0</v>
      </c>
      <c r="J77" s="105">
        <f t="shared" si="12"/>
        <v>0</v>
      </c>
      <c r="K77" s="106" t="e">
        <f t="shared" si="13"/>
        <v>#DIV/0!</v>
      </c>
    </row>
    <row r="78" spans="3:14" x14ac:dyDescent="0.3">
      <c r="C78" s="22">
        <f>Parámetros!GL34</f>
        <v>24</v>
      </c>
      <c r="D78" s="22" t="str">
        <f>Parámetros!GM34</f>
        <v>Comisiones TC</v>
      </c>
      <c r="E78" s="27">
        <f>Parámetros!GZ34</f>
        <v>0</v>
      </c>
      <c r="F78" s="27">
        <f t="shared" si="18"/>
        <v>0</v>
      </c>
      <c r="G78" s="27">
        <f t="shared" si="18"/>
        <v>0</v>
      </c>
      <c r="H78" s="27">
        <f t="shared" si="18"/>
        <v>0</v>
      </c>
      <c r="I78" s="27">
        <f t="shared" si="18"/>
        <v>0</v>
      </c>
      <c r="J78" s="103">
        <f t="shared" si="12"/>
        <v>0</v>
      </c>
      <c r="K78" s="104" t="e">
        <f t="shared" si="13"/>
        <v>#DIV/0!</v>
      </c>
    </row>
    <row r="79" spans="3:14" x14ac:dyDescent="0.3">
      <c r="C79" s="22">
        <f>Parámetros!GL35</f>
        <v>25</v>
      </c>
      <c r="D79" s="22" t="str">
        <f>Parámetros!GM35</f>
        <v>Préstamos</v>
      </c>
      <c r="E79" s="27">
        <f>Parámetros!GZ35</f>
        <v>0</v>
      </c>
      <c r="F79" s="25">
        <f>E79</f>
        <v>0</v>
      </c>
      <c r="G79" s="25">
        <f t="shared" ref="G79:I79" si="32">F79</f>
        <v>0</v>
      </c>
      <c r="H79" s="25">
        <f t="shared" si="32"/>
        <v>0</v>
      </c>
      <c r="I79" s="25">
        <f t="shared" si="32"/>
        <v>0</v>
      </c>
      <c r="J79" s="103">
        <f t="shared" si="12"/>
        <v>0</v>
      </c>
      <c r="K79" s="104" t="e">
        <f t="shared" si="13"/>
        <v>#DIV/0!</v>
      </c>
    </row>
    <row r="80" spans="3:14" x14ac:dyDescent="0.3">
      <c r="C80" s="22">
        <f>Parámetros!GL36</f>
        <v>26</v>
      </c>
      <c r="D80" s="22" t="str">
        <f>Parámetros!GM36</f>
        <v>CxP</v>
      </c>
      <c r="E80" s="27">
        <f>Parámetros!GZ36</f>
        <v>0</v>
      </c>
      <c r="F80" s="27">
        <f t="shared" si="18"/>
        <v>0</v>
      </c>
      <c r="G80" s="27">
        <f t="shared" si="18"/>
        <v>0</v>
      </c>
      <c r="H80" s="27">
        <f t="shared" si="18"/>
        <v>0</v>
      </c>
      <c r="I80" s="27">
        <f t="shared" si="18"/>
        <v>0</v>
      </c>
      <c r="J80" s="103">
        <f t="shared" si="12"/>
        <v>0</v>
      </c>
      <c r="K80" s="104" t="e">
        <f t="shared" si="13"/>
        <v>#DIV/0!</v>
      </c>
    </row>
    <row r="81" spans="3:11" x14ac:dyDescent="0.3">
      <c r="D81" s="31" t="str">
        <f>Parámetros!GM37</f>
        <v>Relacionados a impuestos, tasas y derechos</v>
      </c>
      <c r="E81" s="32" t="e">
        <f>E82</f>
        <v>#DIV/0!</v>
      </c>
      <c r="F81" s="32" t="e">
        <f t="shared" ref="F81:I81" si="33">F82</f>
        <v>#DIV/0!</v>
      </c>
      <c r="G81" s="32" t="e">
        <f t="shared" si="33"/>
        <v>#DIV/0!</v>
      </c>
      <c r="H81" s="32" t="e">
        <f t="shared" si="33"/>
        <v>#DIV/0!</v>
      </c>
      <c r="I81" s="32" t="e">
        <f t="shared" si="33"/>
        <v>#DIV/0!</v>
      </c>
      <c r="J81" s="105" t="e">
        <f t="shared" si="12"/>
        <v>#DIV/0!</v>
      </c>
      <c r="K81" s="106" t="e">
        <f t="shared" si="13"/>
        <v>#DIV/0!</v>
      </c>
    </row>
    <row r="82" spans="3:11" x14ac:dyDescent="0.3">
      <c r="C82" s="22">
        <f>Parámetros!GL38</f>
        <v>27</v>
      </c>
      <c r="D82" s="22" t="str">
        <f>Parámetros!GM38</f>
        <v>Impuestos, tasas y derechos</v>
      </c>
      <c r="E82" s="27" t="e">
        <f>Parámetros!FR25</f>
        <v>#DIV/0!</v>
      </c>
      <c r="F82" s="27" t="e">
        <f>Parámetros!GI25</f>
        <v>#DIV/0!</v>
      </c>
      <c r="G82" s="27" t="e">
        <f>Parámetros!GI56</f>
        <v>#DIV/0!</v>
      </c>
      <c r="H82" s="27" t="e">
        <f>Parámetros!GI87</f>
        <v>#DIV/0!</v>
      </c>
      <c r="I82" s="27" t="e">
        <f>Parámetros!GI118</f>
        <v>#DIV/0!</v>
      </c>
      <c r="J82" s="103" t="e">
        <f t="shared" si="12"/>
        <v>#DIV/0!</v>
      </c>
      <c r="K82" s="104" t="e">
        <f t="shared" si="13"/>
        <v>#DIV/0!</v>
      </c>
    </row>
    <row r="83" spans="3:11" x14ac:dyDescent="0.3">
      <c r="D83" s="31" t="str">
        <f>Parámetros!GM39</f>
        <v>Gastos de Ventas y Administración</v>
      </c>
      <c r="E83" s="43" t="e">
        <f>E59+E63+E77+E81</f>
        <v>#DIV/0!</v>
      </c>
      <c r="F83" s="43" t="e">
        <f t="shared" ref="F83:I83" si="34">F59+F63+F77+F81</f>
        <v>#DIV/0!</v>
      </c>
      <c r="G83" s="43" t="e">
        <f t="shared" si="34"/>
        <v>#DIV/0!</v>
      </c>
      <c r="H83" s="43" t="e">
        <f t="shared" si="34"/>
        <v>#DIV/0!</v>
      </c>
      <c r="I83" s="43" t="e">
        <f t="shared" si="34"/>
        <v>#DIV/0!</v>
      </c>
      <c r="J83" s="105" t="e">
        <f t="shared" si="12"/>
        <v>#DIV/0!</v>
      </c>
      <c r="K83" s="106" t="e">
        <f t="shared" si="13"/>
        <v>#DIV/0!</v>
      </c>
    </row>
    <row r="84" spans="3:11" x14ac:dyDescent="0.3">
      <c r="D84" s="33" t="str">
        <f>Parámetros!GM40</f>
        <v>Total Flujo de Operaciones</v>
      </c>
      <c r="E84" s="33" t="e">
        <f t="shared" ref="E84:J84" si="35">E51-E54-E59-E63-E77-E81</f>
        <v>#DIV/0!</v>
      </c>
      <c r="F84" s="33" t="e">
        <f t="shared" si="35"/>
        <v>#DIV/0!</v>
      </c>
      <c r="G84" s="33" t="e">
        <f t="shared" si="35"/>
        <v>#DIV/0!</v>
      </c>
      <c r="H84" s="33" t="e">
        <f t="shared" si="35"/>
        <v>#DIV/0!</v>
      </c>
      <c r="I84" s="33" t="e">
        <f t="shared" si="35"/>
        <v>#DIV/0!</v>
      </c>
      <c r="J84" s="33" t="e">
        <f t="shared" si="35"/>
        <v>#DIV/0!</v>
      </c>
      <c r="K84" s="106" t="e">
        <f t="shared" si="13"/>
        <v>#DIV/0!</v>
      </c>
    </row>
    <row r="85" spans="3:11" x14ac:dyDescent="0.3">
      <c r="E85" s="22" t="e">
        <f>E84=F12</f>
        <v>#DIV/0!</v>
      </c>
      <c r="F85" s="22" t="e">
        <f>F84=G12</f>
        <v>#DIV/0!</v>
      </c>
      <c r="G85" s="22" t="e">
        <f>G84=H12</f>
        <v>#DIV/0!</v>
      </c>
      <c r="H85" s="22" t="e">
        <f>H84=I12</f>
        <v>#DIV/0!</v>
      </c>
      <c r="I85" s="22" t="e">
        <f>I84=J12</f>
        <v>#DIV/0!</v>
      </c>
    </row>
    <row r="86" spans="3:11" x14ac:dyDescent="0.3">
      <c r="D86" s="23"/>
    </row>
    <row r="87" spans="3:11" x14ac:dyDescent="0.3">
      <c r="D87" s="23"/>
    </row>
  </sheetData>
  <sheetProtection algorithmName="SHA-512" hashValue="9ScjjHCXooVGQ/96FEmf3RRStzgfhd3KrciWmtkQAtjo2+7LxW3231tHi79v/pf5qBoBn89K9sfTov/8XPmnjw==" saltValue="E8/SShuSLn8VBNfyE7Nlgw==" spinCount="100000" sheet="1" objects="1" scenarios="1" selectLockedCells="1"/>
  <mergeCells count="5">
    <mergeCell ref="D17:J17"/>
    <mergeCell ref="D26:J26"/>
    <mergeCell ref="D35:J35"/>
    <mergeCell ref="D2:K3"/>
    <mergeCell ref="D45:K46"/>
  </mergeCells>
  <phoneticPr fontId="17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6ABC-7629-40B5-B49B-8114CA1F8BF6}">
  <sheetPr>
    <tabColor theme="8" tint="0.39997558519241921"/>
    <outlinePr summaryBelow="0"/>
  </sheetPr>
  <dimension ref="B1:IN385"/>
  <sheetViews>
    <sheetView showGridLines="0" showRowColHeaders="0" zoomScale="80" zoomScaleNormal="80" zoomScalePageLayoutView="80" workbookViewId="0">
      <selection activeCell="W6" sqref="W6"/>
    </sheetView>
  </sheetViews>
  <sheetFormatPr baseColWidth="10" defaultColWidth="11.44140625" defaultRowHeight="14.4" customHeight="1" x14ac:dyDescent="0.3"/>
  <cols>
    <col min="1" max="1" width="2.5546875" style="1" customWidth="1"/>
    <col min="2" max="2" width="11.44140625" style="1" hidden="1" customWidth="1"/>
    <col min="3" max="3" width="57.44140625" style="1" hidden="1" customWidth="1"/>
    <col min="4" max="6" width="14.21875" style="1" hidden="1" customWidth="1"/>
    <col min="7" max="21" width="11.44140625" style="1" hidden="1" customWidth="1"/>
    <col min="22" max="22" width="11.44140625" style="13" customWidth="1"/>
    <col min="23" max="33" width="15.77734375" style="241" customWidth="1"/>
    <col min="34" max="38" width="15.88671875" style="241" customWidth="1"/>
    <col min="39" max="42" width="10.88671875" style="241" customWidth="1"/>
    <col min="43" max="43" width="14" style="241" customWidth="1"/>
    <col min="44" max="44" width="18.21875" style="241" customWidth="1"/>
    <col min="45" max="47" width="16.6640625" style="241" customWidth="1"/>
    <col min="48" max="48" width="18.77734375" style="241" customWidth="1"/>
    <col min="49" max="51" width="11.44140625" style="241"/>
    <col min="52" max="56" width="13.77734375" style="241" customWidth="1"/>
    <col min="57" max="57" width="14.44140625" style="241" customWidth="1"/>
    <col min="58" max="59" width="11.44140625" style="241"/>
    <col min="60" max="60" width="14.33203125" style="241" bestFit="1" customWidth="1"/>
    <col min="61" max="62" width="11.44140625" style="241"/>
    <col min="63" max="63" width="17.6640625" style="241" bestFit="1" customWidth="1"/>
    <col min="64" max="78" width="12.77734375" style="241" customWidth="1"/>
    <col min="79" max="79" width="3.109375" style="241" customWidth="1"/>
    <col min="80" max="80" width="14.33203125" style="241" bestFit="1" customWidth="1"/>
    <col min="81" max="82" width="11.44140625" style="241"/>
    <col min="83" max="83" width="17.6640625" style="241" bestFit="1" customWidth="1"/>
    <col min="84" max="98" width="12.77734375" style="241" customWidth="1"/>
    <col min="99" max="99" width="3.109375" style="241" customWidth="1"/>
    <col min="100" max="100" width="14.33203125" style="241" bestFit="1" customWidth="1"/>
    <col min="101" max="102" width="11.44140625" style="241"/>
    <col min="103" max="103" width="17.6640625" style="241" bestFit="1" customWidth="1"/>
    <col min="104" max="118" width="12.77734375" style="241" customWidth="1"/>
    <col min="119" max="119" width="3.109375" style="241" customWidth="1"/>
    <col min="120" max="120" width="14.33203125" style="241" bestFit="1" customWidth="1"/>
    <col min="121" max="122" width="11.44140625" style="241"/>
    <col min="123" max="123" width="17.6640625" style="241" bestFit="1" customWidth="1"/>
    <col min="124" max="138" width="12.77734375" style="241" customWidth="1"/>
    <col min="139" max="139" width="3.109375" style="241" customWidth="1"/>
    <col min="140" max="140" width="14.33203125" style="241" bestFit="1" customWidth="1"/>
    <col min="141" max="142" width="11.44140625" style="241"/>
    <col min="143" max="143" width="17.6640625" style="241" bestFit="1" customWidth="1"/>
    <col min="144" max="158" width="12.77734375" style="241" customWidth="1"/>
    <col min="159" max="159" width="11.44140625" style="241"/>
    <col min="160" max="160" width="1.88671875" style="244" customWidth="1"/>
    <col min="161" max="161" width="43.88671875" style="244" bestFit="1" customWidth="1"/>
    <col min="162" max="162" width="12.5546875" style="244" customWidth="1"/>
    <col min="163" max="163" width="14.109375" style="244" customWidth="1"/>
    <col min="164" max="164" width="14.44140625" style="244" customWidth="1"/>
    <col min="165" max="165" width="13.44140625" style="244" customWidth="1"/>
    <col min="166" max="167" width="14.44140625" style="244" customWidth="1"/>
    <col min="168" max="168" width="14.109375" style="244" customWidth="1"/>
    <col min="169" max="169" width="13.44140625" style="244" customWidth="1"/>
    <col min="170" max="171" width="14" style="244" customWidth="1"/>
    <col min="172" max="173" width="14.109375" style="244" customWidth="1"/>
    <col min="174" max="174" width="16.109375" style="244" bestFit="1" customWidth="1"/>
    <col min="175" max="175" width="9.109375" style="244" bestFit="1" customWidth="1"/>
    <col min="176" max="176" width="6" style="244" customWidth="1"/>
    <col min="177" max="177" width="1.88671875" style="244" customWidth="1"/>
    <col min="178" max="178" width="43.88671875" style="244" bestFit="1" customWidth="1"/>
    <col min="179" max="179" width="12.5546875" style="244" customWidth="1"/>
    <col min="180" max="180" width="14.109375" style="244" customWidth="1"/>
    <col min="181" max="181" width="14.44140625" style="244" customWidth="1"/>
    <col min="182" max="182" width="13.44140625" style="244" customWidth="1"/>
    <col min="183" max="184" width="14.44140625" style="244" customWidth="1"/>
    <col min="185" max="185" width="14.109375" style="244" customWidth="1"/>
    <col min="186" max="186" width="13.44140625" style="244" customWidth="1"/>
    <col min="187" max="188" width="14" style="244" customWidth="1"/>
    <col min="189" max="190" width="14.109375" style="244" customWidth="1"/>
    <col min="191" max="191" width="16.109375" style="244" bestFit="1" customWidth="1"/>
    <col min="192" max="192" width="7.21875" style="249" bestFit="1" customWidth="1"/>
    <col min="193" max="193" width="11.44140625" style="244"/>
    <col min="194" max="194" width="3.33203125" style="244" bestFit="1" customWidth="1"/>
    <col min="195" max="195" width="36.109375" style="244" bestFit="1" customWidth="1"/>
    <col min="196" max="208" width="11.44140625" style="244"/>
    <col min="209" max="209" width="8.33203125" style="244" bestFit="1" customWidth="1"/>
    <col min="210" max="211" width="18" style="244" bestFit="1" customWidth="1"/>
    <col min="212" max="212" width="48.5546875" style="251" bestFit="1" customWidth="1"/>
    <col min="213" max="213" width="10.109375" style="251" bestFit="1" customWidth="1"/>
    <col min="214" max="214" width="12.6640625" style="251" bestFit="1" customWidth="1"/>
    <col min="215" max="215" width="10" style="251" bestFit="1" customWidth="1"/>
    <col min="216" max="216" width="17.6640625" style="251" bestFit="1" customWidth="1"/>
    <col min="217" max="217" width="13.44140625" style="251" customWidth="1"/>
    <col min="218" max="218" width="5.77734375" style="251" customWidth="1"/>
    <col min="219" max="219" width="16.109375" style="244" customWidth="1"/>
    <col min="220" max="220" width="5.77734375" style="244" customWidth="1"/>
    <col min="221" max="221" width="28.5546875" style="244" customWidth="1"/>
    <col min="222" max="245" width="8.77734375" style="244" customWidth="1"/>
    <col min="246" max="246" width="11.77734375" style="244" customWidth="1"/>
    <col min="247" max="247" width="8.77734375" style="244" customWidth="1"/>
    <col min="248" max="248" width="11.44140625" style="244"/>
    <col min="249" max="16384" width="11.44140625" style="1"/>
  </cols>
  <sheetData>
    <row r="1" spans="2:247" ht="14.4" customHeight="1" x14ac:dyDescent="0.3">
      <c r="B1" s="550"/>
      <c r="AQ1" s="242" t="s">
        <v>741</v>
      </c>
      <c r="AR1" s="243">
        <f>AK26</f>
        <v>0.35</v>
      </c>
      <c r="AX1" s="495"/>
      <c r="BZ1" s="495"/>
      <c r="CT1" s="495"/>
      <c r="DN1" s="495"/>
      <c r="EH1" s="495"/>
      <c r="FB1" s="495"/>
      <c r="FR1" s="550"/>
      <c r="GC1" s="245" t="s">
        <v>434</v>
      </c>
      <c r="GD1" s="246">
        <v>0</v>
      </c>
      <c r="GE1" s="247" t="str">
        <f>IF(GD1=0%,"No Calculado","Ajustado")</f>
        <v>No Calculado</v>
      </c>
      <c r="GF1" s="248"/>
      <c r="GG1" s="245" t="s">
        <v>430</v>
      </c>
      <c r="GH1" s="246">
        <v>0</v>
      </c>
      <c r="GI1" s="247" t="str">
        <f>IF(GH1=0%,"No Calculado","Ajustado")</f>
        <v>No Calculado</v>
      </c>
      <c r="GJ1" s="551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550"/>
      <c r="HL1" s="550"/>
      <c r="IJ1" s="550"/>
    </row>
    <row r="2" spans="2:247" ht="14.4" customHeight="1" x14ac:dyDescent="0.3">
      <c r="B2" s="497" t="s">
        <v>504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W2" s="495"/>
      <c r="X2" s="542" t="s">
        <v>387</v>
      </c>
      <c r="Y2" s="542"/>
      <c r="Z2" s="542"/>
      <c r="AA2" s="542"/>
      <c r="AB2" s="542"/>
      <c r="AC2" s="542"/>
      <c r="AD2" s="542"/>
      <c r="AE2" s="542"/>
      <c r="AF2" s="542"/>
      <c r="AG2" s="542"/>
      <c r="AH2" s="542"/>
      <c r="AI2" s="542"/>
      <c r="AJ2" s="542"/>
      <c r="AK2" s="542"/>
      <c r="AM2" s="526" t="s">
        <v>372</v>
      </c>
      <c r="AN2" s="526"/>
      <c r="AO2" s="526"/>
      <c r="AP2" s="526"/>
      <c r="AQ2" s="526"/>
      <c r="AR2" s="526"/>
      <c r="AS2" s="526"/>
      <c r="AT2" s="526"/>
      <c r="AU2" s="526"/>
      <c r="AY2" s="528" t="s">
        <v>423</v>
      </c>
      <c r="AZ2" s="528"/>
      <c r="BA2" s="528"/>
      <c r="BB2" s="528"/>
      <c r="BC2" s="528"/>
      <c r="BD2" s="528"/>
      <c r="BE2" s="528"/>
      <c r="BH2" s="495"/>
      <c r="BO2" s="526" t="s">
        <v>386</v>
      </c>
      <c r="BP2" s="526"/>
      <c r="BQ2" s="526"/>
      <c r="BR2" s="526"/>
      <c r="BS2" s="526"/>
      <c r="BT2" s="526"/>
      <c r="BU2" s="526"/>
      <c r="BV2" s="526"/>
      <c r="BW2" s="526"/>
      <c r="BX2" s="526"/>
      <c r="BY2" s="526"/>
      <c r="BZ2" s="526"/>
      <c r="CA2" s="252"/>
      <c r="CB2" s="252"/>
      <c r="CC2" s="252"/>
      <c r="CD2" s="252"/>
      <c r="CE2" s="252"/>
      <c r="CF2" s="252"/>
      <c r="CG2" s="252"/>
      <c r="CH2" s="252"/>
      <c r="CI2" s="526" t="s">
        <v>409</v>
      </c>
      <c r="CJ2" s="526"/>
      <c r="CK2" s="526"/>
      <c r="CL2" s="526"/>
      <c r="CM2" s="526"/>
      <c r="CN2" s="526"/>
      <c r="CO2" s="526"/>
      <c r="CP2" s="526"/>
      <c r="CQ2" s="526"/>
      <c r="CR2" s="526"/>
      <c r="CS2" s="526"/>
      <c r="CT2" s="526"/>
      <c r="CU2" s="252"/>
      <c r="CV2" s="252"/>
      <c r="CW2" s="252"/>
      <c r="CX2" s="252"/>
      <c r="CY2" s="252"/>
      <c r="CZ2" s="252"/>
      <c r="DA2" s="252"/>
      <c r="DB2" s="252"/>
      <c r="DC2" s="526" t="s">
        <v>412</v>
      </c>
      <c r="DD2" s="526"/>
      <c r="DE2" s="526"/>
      <c r="DF2" s="526"/>
      <c r="DG2" s="526"/>
      <c r="DH2" s="526"/>
      <c r="DI2" s="526"/>
      <c r="DJ2" s="526"/>
      <c r="DK2" s="526"/>
      <c r="DL2" s="526"/>
      <c r="DM2" s="526"/>
      <c r="DN2" s="526"/>
      <c r="DO2" s="252"/>
      <c r="DP2" s="252"/>
      <c r="DQ2" s="252"/>
      <c r="DR2" s="252"/>
      <c r="DS2" s="252"/>
      <c r="DT2" s="252"/>
      <c r="DU2" s="252"/>
      <c r="DV2" s="252"/>
      <c r="DW2" s="526" t="s">
        <v>417</v>
      </c>
      <c r="DX2" s="526"/>
      <c r="DY2" s="526"/>
      <c r="DZ2" s="526"/>
      <c r="EA2" s="526"/>
      <c r="EB2" s="526"/>
      <c r="EC2" s="526"/>
      <c r="ED2" s="526"/>
      <c r="EE2" s="526"/>
      <c r="EF2" s="526"/>
      <c r="EG2" s="526"/>
      <c r="EH2" s="526"/>
      <c r="EI2" s="252"/>
      <c r="EJ2" s="252"/>
      <c r="EK2" s="252"/>
      <c r="EL2" s="252"/>
      <c r="EM2" s="252"/>
      <c r="EN2" s="252"/>
      <c r="EO2" s="252"/>
      <c r="EP2" s="252"/>
      <c r="EQ2" s="526" t="s">
        <v>419</v>
      </c>
      <c r="ER2" s="526"/>
      <c r="ES2" s="526"/>
      <c r="ET2" s="526"/>
      <c r="EU2" s="526"/>
      <c r="EV2" s="526"/>
      <c r="EW2" s="526"/>
      <c r="EX2" s="526"/>
      <c r="EY2" s="526"/>
      <c r="EZ2" s="526"/>
      <c r="FA2" s="526"/>
      <c r="FB2" s="526"/>
      <c r="FC2" s="252"/>
      <c r="FD2" s="253"/>
      <c r="FE2" s="526" t="s">
        <v>428</v>
      </c>
      <c r="FF2" s="526"/>
      <c r="FG2" s="526"/>
      <c r="FH2" s="526"/>
      <c r="FI2" s="526"/>
      <c r="FJ2" s="526"/>
      <c r="FK2" s="526"/>
      <c r="FL2" s="526"/>
      <c r="FM2" s="526"/>
      <c r="FN2" s="526"/>
      <c r="FO2" s="526"/>
      <c r="FP2" s="526"/>
      <c r="FQ2" s="526"/>
      <c r="FR2" s="526"/>
      <c r="FS2" s="253"/>
      <c r="FT2" s="253"/>
      <c r="FU2" s="253"/>
      <c r="FV2" s="526" t="s">
        <v>429</v>
      </c>
      <c r="FW2" s="526"/>
      <c r="FX2" s="526"/>
      <c r="FY2" s="526"/>
      <c r="FZ2" s="526"/>
      <c r="GA2" s="526"/>
      <c r="GB2" s="526"/>
      <c r="GC2" s="245" t="s">
        <v>435</v>
      </c>
      <c r="GD2" s="246">
        <v>0</v>
      </c>
      <c r="GE2" s="247" t="str">
        <f>IF(GD2=0%,"No Calculado","Ajustado")</f>
        <v>No Calculado</v>
      </c>
      <c r="GF2" s="254"/>
      <c r="GG2" s="245" t="s">
        <v>431</v>
      </c>
      <c r="GH2" s="246">
        <v>0</v>
      </c>
      <c r="GI2" s="247" t="str">
        <f>IF(GH2=0%,"Ya Calculado","Mejorado")</f>
        <v>Ya Calculado</v>
      </c>
      <c r="GL2" s="526" t="s">
        <v>683</v>
      </c>
      <c r="GM2" s="526"/>
      <c r="GN2" s="526"/>
      <c r="GO2" s="526"/>
      <c r="GP2" s="526"/>
      <c r="GQ2" s="526"/>
      <c r="GR2" s="526"/>
      <c r="GS2" s="526"/>
      <c r="GT2" s="526"/>
      <c r="GU2" s="526"/>
      <c r="GV2" s="526"/>
      <c r="GW2" s="526"/>
      <c r="GX2" s="526"/>
      <c r="GY2" s="526"/>
      <c r="GZ2" s="526"/>
      <c r="HA2" s="526"/>
      <c r="HB2" s="253"/>
      <c r="HC2" s="253"/>
      <c r="HD2" s="499" t="s">
        <v>684</v>
      </c>
      <c r="HE2" s="499"/>
      <c r="HF2" s="499"/>
      <c r="HG2" s="499"/>
      <c r="HH2" s="499"/>
      <c r="HI2" s="191"/>
      <c r="HJ2" s="192"/>
      <c r="HK2" s="253"/>
      <c r="HL2" s="253"/>
      <c r="HM2" s="499" t="s">
        <v>490</v>
      </c>
      <c r="HN2" s="499"/>
      <c r="HO2" s="499"/>
      <c r="HP2" s="499"/>
      <c r="HQ2" s="499"/>
      <c r="HR2" s="499"/>
      <c r="HS2" s="499"/>
      <c r="HT2" s="499"/>
      <c r="HU2" s="499"/>
      <c r="HV2" s="499"/>
      <c r="HW2" s="499"/>
      <c r="HX2" s="499"/>
      <c r="HY2" s="499"/>
      <c r="HZ2" s="499"/>
      <c r="IA2" s="499"/>
      <c r="IB2" s="499"/>
      <c r="IC2" s="499"/>
      <c r="ID2" s="499"/>
      <c r="IE2" s="499"/>
      <c r="IF2" s="499"/>
      <c r="IG2" s="499"/>
      <c r="IH2" s="499"/>
      <c r="II2" s="499"/>
      <c r="IJ2" s="499"/>
      <c r="IK2" s="499"/>
      <c r="IL2" s="499"/>
      <c r="IM2" s="499"/>
    </row>
    <row r="3" spans="2:247" ht="14.4" customHeight="1" x14ac:dyDescent="0.3"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X3" s="542"/>
      <c r="Y3" s="542"/>
      <c r="Z3" s="542"/>
      <c r="AA3" s="542"/>
      <c r="AB3" s="542"/>
      <c r="AC3" s="542"/>
      <c r="AD3" s="542"/>
      <c r="AE3" s="542"/>
      <c r="AF3" s="542"/>
      <c r="AG3" s="542"/>
      <c r="AH3" s="542"/>
      <c r="AI3" s="542"/>
      <c r="AJ3" s="542"/>
      <c r="AK3" s="542"/>
      <c r="AM3" s="526"/>
      <c r="AN3" s="526"/>
      <c r="AO3" s="526"/>
      <c r="AP3" s="526"/>
      <c r="AQ3" s="526"/>
      <c r="AR3" s="526"/>
      <c r="AS3" s="526"/>
      <c r="AT3" s="526"/>
      <c r="AU3" s="526"/>
      <c r="AY3" s="528"/>
      <c r="AZ3" s="528"/>
      <c r="BA3" s="528"/>
      <c r="BB3" s="528"/>
      <c r="BC3" s="528"/>
      <c r="BD3" s="528"/>
      <c r="BE3" s="528"/>
      <c r="BO3" s="526"/>
      <c r="BP3" s="526"/>
      <c r="BQ3" s="526"/>
      <c r="BR3" s="526"/>
      <c r="BS3" s="526"/>
      <c r="BT3" s="526"/>
      <c r="BU3" s="526"/>
      <c r="BV3" s="526"/>
      <c r="BW3" s="526"/>
      <c r="BX3" s="526"/>
      <c r="BY3" s="526"/>
      <c r="BZ3" s="526"/>
      <c r="CA3" s="252"/>
      <c r="CB3" s="252"/>
      <c r="CC3" s="252"/>
      <c r="CD3" s="252"/>
      <c r="CE3" s="252"/>
      <c r="CF3" s="252"/>
      <c r="CG3" s="252"/>
      <c r="CH3" s="252"/>
      <c r="CI3" s="526"/>
      <c r="CJ3" s="526"/>
      <c r="CK3" s="526"/>
      <c r="CL3" s="526"/>
      <c r="CM3" s="526"/>
      <c r="CN3" s="526"/>
      <c r="CO3" s="526"/>
      <c r="CP3" s="526"/>
      <c r="CQ3" s="526"/>
      <c r="CR3" s="526"/>
      <c r="CS3" s="526"/>
      <c r="CT3" s="526"/>
      <c r="CU3" s="252"/>
      <c r="CV3" s="252"/>
      <c r="CW3" s="252"/>
      <c r="CX3" s="252"/>
      <c r="CY3" s="252"/>
      <c r="CZ3" s="252"/>
      <c r="DA3" s="252"/>
      <c r="DB3" s="252"/>
      <c r="DC3" s="526"/>
      <c r="DD3" s="526"/>
      <c r="DE3" s="526"/>
      <c r="DF3" s="526"/>
      <c r="DG3" s="526"/>
      <c r="DH3" s="526"/>
      <c r="DI3" s="526"/>
      <c r="DJ3" s="526"/>
      <c r="DK3" s="526"/>
      <c r="DL3" s="526"/>
      <c r="DM3" s="526"/>
      <c r="DN3" s="526"/>
      <c r="DO3" s="252"/>
      <c r="DP3" s="252"/>
      <c r="DQ3" s="252"/>
      <c r="DR3" s="252"/>
      <c r="DS3" s="252"/>
      <c r="DT3" s="252"/>
      <c r="DU3" s="252"/>
      <c r="DV3" s="252"/>
      <c r="DW3" s="526"/>
      <c r="DX3" s="526"/>
      <c r="DY3" s="526"/>
      <c r="DZ3" s="526"/>
      <c r="EA3" s="526"/>
      <c r="EB3" s="526"/>
      <c r="EC3" s="526"/>
      <c r="ED3" s="526"/>
      <c r="EE3" s="526"/>
      <c r="EF3" s="526"/>
      <c r="EG3" s="526"/>
      <c r="EH3" s="526"/>
      <c r="EI3" s="252"/>
      <c r="EJ3" s="252"/>
      <c r="EK3" s="252"/>
      <c r="EL3" s="252"/>
      <c r="EM3" s="252"/>
      <c r="EN3" s="252"/>
      <c r="EO3" s="252"/>
      <c r="EP3" s="252"/>
      <c r="EQ3" s="526"/>
      <c r="ER3" s="526"/>
      <c r="ES3" s="526"/>
      <c r="ET3" s="526"/>
      <c r="EU3" s="526"/>
      <c r="EV3" s="526"/>
      <c r="EW3" s="526"/>
      <c r="EX3" s="526"/>
      <c r="EY3" s="526"/>
      <c r="EZ3" s="526"/>
      <c r="FA3" s="526"/>
      <c r="FB3" s="526"/>
      <c r="FC3" s="252"/>
      <c r="FD3" s="253"/>
      <c r="FE3" s="526"/>
      <c r="FF3" s="526"/>
      <c r="FG3" s="526"/>
      <c r="FH3" s="526"/>
      <c r="FI3" s="526"/>
      <c r="FJ3" s="526"/>
      <c r="FK3" s="526"/>
      <c r="FL3" s="526"/>
      <c r="FM3" s="526"/>
      <c r="FN3" s="526"/>
      <c r="FO3" s="526"/>
      <c r="FP3" s="526"/>
      <c r="FQ3" s="526"/>
      <c r="FR3" s="526"/>
      <c r="FS3" s="253"/>
      <c r="FT3" s="253"/>
      <c r="FU3" s="253"/>
      <c r="FV3" s="526"/>
      <c r="FW3" s="526"/>
      <c r="FX3" s="526"/>
      <c r="FY3" s="526"/>
      <c r="FZ3" s="526"/>
      <c r="GA3" s="526"/>
      <c r="GB3" s="526"/>
      <c r="GC3" s="245" t="s">
        <v>436</v>
      </c>
      <c r="GD3" s="246">
        <v>0</v>
      </c>
      <c r="GE3" s="247" t="str">
        <f>IF(GD3=0%,"No Incluido","Adaptado")</f>
        <v>No Incluido</v>
      </c>
      <c r="GF3" s="254"/>
      <c r="GG3" s="245" t="s">
        <v>432</v>
      </c>
      <c r="GH3" s="246">
        <v>0</v>
      </c>
      <c r="GI3" s="247" t="str">
        <f>IF(GH3=0%,"No Incluido","Adaptado")</f>
        <v>No Incluido</v>
      </c>
      <c r="GL3" s="526"/>
      <c r="GM3" s="526"/>
      <c r="GN3" s="526"/>
      <c r="GO3" s="526"/>
      <c r="GP3" s="526"/>
      <c r="GQ3" s="526"/>
      <c r="GR3" s="526"/>
      <c r="GS3" s="526"/>
      <c r="GT3" s="526"/>
      <c r="GU3" s="526"/>
      <c r="GV3" s="526"/>
      <c r="GW3" s="526"/>
      <c r="GX3" s="526"/>
      <c r="GY3" s="526"/>
      <c r="GZ3" s="526"/>
      <c r="HA3" s="526"/>
      <c r="HB3" s="253"/>
      <c r="HC3" s="253"/>
      <c r="HD3" s="499"/>
      <c r="HE3" s="499"/>
      <c r="HF3" s="499"/>
      <c r="HG3" s="499"/>
      <c r="HH3" s="499"/>
      <c r="HI3" s="191"/>
      <c r="HJ3" s="192"/>
      <c r="HK3" s="148" t="s">
        <v>644</v>
      </c>
      <c r="HL3" s="253"/>
      <c r="HM3" s="499"/>
      <c r="HN3" s="499"/>
      <c r="HO3" s="499"/>
      <c r="HP3" s="499"/>
      <c r="HQ3" s="499"/>
      <c r="HR3" s="499"/>
      <c r="HS3" s="499"/>
      <c r="HT3" s="499"/>
      <c r="HU3" s="499"/>
      <c r="HV3" s="499"/>
      <c r="HW3" s="499"/>
      <c r="HX3" s="499"/>
      <c r="HY3" s="499"/>
      <c r="HZ3" s="499"/>
      <c r="IA3" s="499"/>
      <c r="IB3" s="499"/>
      <c r="IC3" s="499"/>
      <c r="ID3" s="499"/>
      <c r="IE3" s="499"/>
      <c r="IF3" s="499"/>
      <c r="IG3" s="499"/>
      <c r="IH3" s="499"/>
      <c r="II3" s="499"/>
      <c r="IJ3" s="499"/>
      <c r="IK3" s="499"/>
      <c r="IL3" s="499"/>
      <c r="IM3" s="499"/>
    </row>
    <row r="4" spans="2:247" ht="14.4" customHeight="1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X4" s="535" t="str">
        <f>IF(W6&lt;100%,"ESCENARIO PESIMISTA",IF(W6=100%,"ESCENARIO PROBABLE",IF(W6&gt;100%,"ESCENARIO OPTIMISTA","")))</f>
        <v>ESCENARIO PROBABLE</v>
      </c>
      <c r="Y4" s="535"/>
      <c r="Z4" s="535"/>
      <c r="AA4" s="535"/>
      <c r="AB4" s="535"/>
      <c r="AC4" s="535"/>
      <c r="AD4" s="535"/>
      <c r="AE4" s="535"/>
      <c r="AF4" s="535"/>
      <c r="AG4" s="535"/>
      <c r="AH4" s="539" t="s">
        <v>388</v>
      </c>
      <c r="AI4" s="540"/>
      <c r="AJ4" s="540"/>
      <c r="AK4" s="541"/>
      <c r="AM4" s="538" t="s">
        <v>373</v>
      </c>
      <c r="AN4" s="538"/>
      <c r="AO4" s="256" t="s">
        <v>374</v>
      </c>
      <c r="AP4" s="255" t="s">
        <v>377</v>
      </c>
      <c r="AQ4" s="257">
        <v>2021</v>
      </c>
      <c r="AR4" s="255" t="s">
        <v>375</v>
      </c>
      <c r="AS4" s="256" t="s">
        <v>376</v>
      </c>
      <c r="AT4" s="256"/>
      <c r="AU4" s="244"/>
      <c r="AY4" s="527" t="s">
        <v>426</v>
      </c>
      <c r="AZ4" s="527"/>
      <c r="BA4" s="527"/>
      <c r="BB4" s="527"/>
      <c r="BC4" s="527"/>
      <c r="BD4" s="527"/>
      <c r="BE4" s="527"/>
      <c r="BO4" s="523" t="s">
        <v>405</v>
      </c>
      <c r="BP4" s="523"/>
      <c r="BQ4" s="523"/>
      <c r="BR4" s="523"/>
      <c r="BS4" s="523"/>
      <c r="BT4" s="523"/>
      <c r="BU4" s="523"/>
      <c r="BV4" s="523"/>
      <c r="BW4" s="523"/>
      <c r="BX4" s="523"/>
      <c r="BY4" s="523"/>
      <c r="BZ4" s="523"/>
      <c r="CE4" s="522" t="s">
        <v>415</v>
      </c>
      <c r="CF4" s="522"/>
      <c r="CG4" s="522"/>
      <c r="CH4" s="258">
        <v>1.05</v>
      </c>
      <c r="CI4" s="523" t="s">
        <v>410</v>
      </c>
      <c r="CJ4" s="523"/>
      <c r="CK4" s="523"/>
      <c r="CL4" s="523"/>
      <c r="CM4" s="523"/>
      <c r="CN4" s="523"/>
      <c r="CO4" s="523"/>
      <c r="CP4" s="523"/>
      <c r="CQ4" s="523"/>
      <c r="CR4" s="523"/>
      <c r="CS4" s="523"/>
      <c r="CT4" s="523"/>
      <c r="CY4" s="522" t="s">
        <v>415</v>
      </c>
      <c r="CZ4" s="522"/>
      <c r="DA4" s="522"/>
      <c r="DB4" s="258">
        <v>1.05</v>
      </c>
      <c r="DC4" s="523" t="s">
        <v>414</v>
      </c>
      <c r="DD4" s="523"/>
      <c r="DE4" s="523"/>
      <c r="DF4" s="523"/>
      <c r="DG4" s="523"/>
      <c r="DH4" s="523"/>
      <c r="DI4" s="523"/>
      <c r="DJ4" s="523"/>
      <c r="DK4" s="523"/>
      <c r="DL4" s="523"/>
      <c r="DM4" s="523"/>
      <c r="DN4" s="523"/>
      <c r="DS4" s="522" t="s">
        <v>415</v>
      </c>
      <c r="DT4" s="522"/>
      <c r="DU4" s="522"/>
      <c r="DV4" s="258">
        <v>1.05</v>
      </c>
      <c r="DW4" s="523" t="s">
        <v>416</v>
      </c>
      <c r="DX4" s="523"/>
      <c r="DY4" s="523"/>
      <c r="DZ4" s="523"/>
      <c r="EA4" s="523"/>
      <c r="EB4" s="523"/>
      <c r="EC4" s="523"/>
      <c r="ED4" s="523"/>
      <c r="EE4" s="523"/>
      <c r="EF4" s="523"/>
      <c r="EG4" s="523"/>
      <c r="EH4" s="523"/>
      <c r="EM4" s="522" t="s">
        <v>415</v>
      </c>
      <c r="EN4" s="522"/>
      <c r="EO4" s="522"/>
      <c r="EP4" s="258">
        <v>1.05</v>
      </c>
      <c r="EQ4" s="523" t="s">
        <v>420</v>
      </c>
      <c r="ER4" s="523"/>
      <c r="ES4" s="523"/>
      <c r="ET4" s="523"/>
      <c r="EU4" s="523"/>
      <c r="EV4" s="523"/>
      <c r="EW4" s="523"/>
      <c r="EX4" s="523"/>
      <c r="EY4" s="523"/>
      <c r="EZ4" s="523"/>
      <c r="FA4" s="523"/>
      <c r="FB4" s="523"/>
      <c r="FE4" s="259"/>
      <c r="FS4" s="260"/>
      <c r="FV4" s="259"/>
      <c r="FW4" s="261"/>
      <c r="FX4" s="261"/>
      <c r="FY4" s="261"/>
      <c r="FZ4" s="261"/>
      <c r="GA4" s="261"/>
      <c r="GB4" s="261"/>
      <c r="GC4" s="245"/>
      <c r="GD4" s="246">
        <v>0</v>
      </c>
      <c r="GE4" s="247" t="str">
        <f>IF(GD4=0%,"No Incluido","Adaptado")</f>
        <v>No Incluido</v>
      </c>
      <c r="GF4" s="248"/>
      <c r="GG4" s="245" t="s">
        <v>433</v>
      </c>
      <c r="GH4" s="246">
        <v>0</v>
      </c>
      <c r="GI4" s="247" t="str">
        <f>IF(GH4=0%,"No Incluido","Adaptado")</f>
        <v>No Incluido</v>
      </c>
      <c r="GJ4" s="262"/>
      <c r="GL4" s="263"/>
      <c r="GM4" s="263"/>
      <c r="GN4" s="264" t="str">
        <f>BO7</f>
        <v>Abril</v>
      </c>
      <c r="GO4" s="264" t="str">
        <f t="shared" ref="GO4:GY4" si="0">BP7</f>
        <v>Mayo</v>
      </c>
      <c r="GP4" s="264" t="str">
        <f t="shared" si="0"/>
        <v>Junio</v>
      </c>
      <c r="GQ4" s="264" t="str">
        <f t="shared" si="0"/>
        <v>Julio</v>
      </c>
      <c r="GR4" s="264" t="str">
        <f t="shared" si="0"/>
        <v>Agosto</v>
      </c>
      <c r="GS4" s="264" t="str">
        <f t="shared" si="0"/>
        <v>Septiembre</v>
      </c>
      <c r="GT4" s="264" t="str">
        <f t="shared" si="0"/>
        <v>Octubre</v>
      </c>
      <c r="GU4" s="264" t="str">
        <f t="shared" si="0"/>
        <v>Noviembre</v>
      </c>
      <c r="GV4" s="264" t="str">
        <f t="shared" si="0"/>
        <v>Diciembre</v>
      </c>
      <c r="GW4" s="264" t="str">
        <f t="shared" si="0"/>
        <v>Enero</v>
      </c>
      <c r="GX4" s="264" t="str">
        <f t="shared" si="0"/>
        <v>Febrero</v>
      </c>
      <c r="GY4" s="264" t="str">
        <f t="shared" si="0"/>
        <v>Marzo</v>
      </c>
      <c r="GZ4" s="264" t="s">
        <v>453</v>
      </c>
      <c r="HD4" s="511"/>
      <c r="HE4" s="511"/>
      <c r="HF4" s="53"/>
      <c r="HG4" s="54"/>
      <c r="HH4" s="51"/>
      <c r="HI4" s="51"/>
      <c r="HJ4" s="143"/>
      <c r="HK4" s="149" t="s">
        <v>641</v>
      </c>
    </row>
    <row r="5" spans="2:247" ht="14.4" customHeight="1" x14ac:dyDescent="0.3">
      <c r="B5" s="501" t="s">
        <v>506</v>
      </c>
      <c r="C5" s="501"/>
      <c r="D5" s="501"/>
      <c r="H5" s="501" t="s">
        <v>574</v>
      </c>
      <c r="I5" s="501"/>
      <c r="J5" s="501"/>
      <c r="K5" s="501"/>
      <c r="L5" s="501"/>
      <c r="M5" s="501"/>
      <c r="W5" s="265" t="s">
        <v>293</v>
      </c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266" t="s">
        <v>379</v>
      </c>
      <c r="AI5" s="267" t="s">
        <v>297</v>
      </c>
      <c r="AJ5" s="268" t="s">
        <v>379</v>
      </c>
      <c r="AK5" s="269" t="s">
        <v>297</v>
      </c>
      <c r="AM5" s="241" t="s">
        <v>284</v>
      </c>
      <c r="AN5" s="241" t="s">
        <v>285</v>
      </c>
      <c r="AO5" s="241" t="s">
        <v>286</v>
      </c>
      <c r="AP5" s="241" t="s">
        <v>287</v>
      </c>
      <c r="AQ5" s="241" t="s">
        <v>288</v>
      </c>
      <c r="AR5" s="270" t="s">
        <v>289</v>
      </c>
      <c r="AS5" s="271" t="s">
        <v>290</v>
      </c>
      <c r="AT5" s="271" t="s">
        <v>291</v>
      </c>
      <c r="AU5" s="271" t="s">
        <v>292</v>
      </c>
      <c r="AV5" s="241" t="s">
        <v>768</v>
      </c>
      <c r="AY5" s="272" t="s">
        <v>427</v>
      </c>
      <c r="AZ5" s="272">
        <v>2023</v>
      </c>
      <c r="BA5" s="272">
        <f>AZ5+1</f>
        <v>2024</v>
      </c>
      <c r="BB5" s="272">
        <f t="shared" ref="BB5:BD5" si="1">BA5+1</f>
        <v>2025</v>
      </c>
      <c r="BC5" s="272">
        <f t="shared" si="1"/>
        <v>2026</v>
      </c>
      <c r="BD5" s="272">
        <f t="shared" si="1"/>
        <v>2027</v>
      </c>
      <c r="BE5" s="272" t="s">
        <v>425</v>
      </c>
      <c r="BK5" s="522" t="s">
        <v>385</v>
      </c>
      <c r="BL5" s="522"/>
      <c r="BM5" s="522"/>
      <c r="BN5" s="273" t="str">
        <f>W8</f>
        <v>Abril</v>
      </c>
      <c r="BO5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BP5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BQ5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BR5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BS5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BT5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BU5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BV5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BW5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BX5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BY5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BZ5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CE5" s="522" t="s">
        <v>385</v>
      </c>
      <c r="CF5" s="522"/>
      <c r="CG5" s="522"/>
      <c r="CH5" s="273" t="str">
        <f>BN5</f>
        <v>Abril</v>
      </c>
      <c r="CI5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CJ5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CK5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CL5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CM5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CN5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CO5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CP5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CQ5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CR5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CS5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CT5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CY5" s="522" t="s">
        <v>385</v>
      </c>
      <c r="CZ5" s="522"/>
      <c r="DA5" s="522"/>
      <c r="DB5" s="273" t="str">
        <f>CH5</f>
        <v>Abril</v>
      </c>
      <c r="DC5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DD5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DE5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DF5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DG5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DH5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DI5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DJ5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DK5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DL5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DM5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DN5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DS5" s="522" t="s">
        <v>385</v>
      </c>
      <c r="DT5" s="522"/>
      <c r="DU5" s="522"/>
      <c r="DV5" s="273" t="str">
        <f>DB5</f>
        <v>Abril</v>
      </c>
      <c r="DW5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DX5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DY5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DZ5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EA5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EB5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EC5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ED5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EE5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EF5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EG5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EH5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EM5" s="522" t="s">
        <v>385</v>
      </c>
      <c r="EN5" s="522"/>
      <c r="EO5" s="522"/>
      <c r="EP5" s="273" t="str">
        <f>DV5</f>
        <v>Abril</v>
      </c>
      <c r="EQ5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ER5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ES5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ET5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EU5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EV5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EW5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EX5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EY5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EZ5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FA5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FB5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FE5" s="275" t="s">
        <v>1</v>
      </c>
      <c r="FF5" s="276" t="s">
        <v>2</v>
      </c>
      <c r="FG5" s="276" t="s">
        <v>3</v>
      </c>
      <c r="FH5" s="276" t="s">
        <v>4</v>
      </c>
      <c r="FI5" s="276" t="s">
        <v>5</v>
      </c>
      <c r="FJ5" s="276" t="s">
        <v>6</v>
      </c>
      <c r="FK5" s="276" t="s">
        <v>7</v>
      </c>
      <c r="FL5" s="276" t="s">
        <v>8</v>
      </c>
      <c r="FM5" s="276" t="s">
        <v>9</v>
      </c>
      <c r="FN5" s="276" t="s">
        <v>10</v>
      </c>
      <c r="FO5" s="276" t="s">
        <v>11</v>
      </c>
      <c r="FP5" s="276" t="s">
        <v>12</v>
      </c>
      <c r="FQ5" s="276" t="s">
        <v>13</v>
      </c>
      <c r="FR5" s="277" t="s">
        <v>14</v>
      </c>
      <c r="FS5" s="278"/>
      <c r="FV5" s="275" t="s">
        <v>1</v>
      </c>
      <c r="FW5" s="276" t="s">
        <v>2</v>
      </c>
      <c r="FX5" s="276" t="s">
        <v>3</v>
      </c>
      <c r="FY5" s="276" t="s">
        <v>4</v>
      </c>
      <c r="FZ5" s="276" t="s">
        <v>5</v>
      </c>
      <c r="GA5" s="276" t="s">
        <v>6</v>
      </c>
      <c r="GB5" s="276" t="s">
        <v>7</v>
      </c>
      <c r="GC5" s="276" t="s">
        <v>8</v>
      </c>
      <c r="GD5" s="276" t="s">
        <v>9</v>
      </c>
      <c r="GE5" s="276" t="s">
        <v>10</v>
      </c>
      <c r="GF5" s="276" t="s">
        <v>11</v>
      </c>
      <c r="GG5" s="279" t="s">
        <v>12</v>
      </c>
      <c r="GH5" s="276" t="s">
        <v>13</v>
      </c>
      <c r="GI5" s="277" t="s">
        <v>14</v>
      </c>
      <c r="GJ5" s="280"/>
      <c r="GL5" s="263"/>
      <c r="GM5" s="281"/>
      <c r="GN5" s="282"/>
      <c r="GO5" s="282"/>
      <c r="GP5" s="282"/>
      <c r="GQ5" s="282"/>
      <c r="GR5" s="282"/>
      <c r="GS5" s="282"/>
      <c r="GT5" s="282"/>
      <c r="GU5" s="282"/>
      <c r="GV5" s="282"/>
      <c r="GW5" s="282"/>
      <c r="GX5" s="282"/>
      <c r="GY5" s="282"/>
      <c r="GZ5" s="282"/>
      <c r="HD5" s="512" t="s">
        <v>510</v>
      </c>
      <c r="HE5" s="89" t="s">
        <v>511</v>
      </c>
      <c r="HF5" s="90" t="s">
        <v>512</v>
      </c>
      <c r="HG5" s="91" t="s">
        <v>513</v>
      </c>
      <c r="HH5" s="90" t="s">
        <v>514</v>
      </c>
      <c r="HI5" s="141" t="s">
        <v>643</v>
      </c>
      <c r="HJ5" s="144"/>
      <c r="HK5" s="147" t="s">
        <v>642</v>
      </c>
      <c r="HM5" s="283"/>
      <c r="HN5" s="284">
        <f>HN56</f>
        <v>44927</v>
      </c>
      <c r="HO5" s="285"/>
      <c r="HP5" s="284">
        <f>HN57</f>
        <v>44958</v>
      </c>
      <c r="HQ5" s="286"/>
      <c r="HR5" s="284">
        <f>HN58</f>
        <v>44986</v>
      </c>
      <c r="HS5" s="286"/>
      <c r="HT5" s="284">
        <f>HN59</f>
        <v>45017</v>
      </c>
      <c r="HU5" s="286"/>
      <c r="HV5" s="284">
        <f>HN60</f>
        <v>45047</v>
      </c>
      <c r="HW5" s="286"/>
      <c r="HX5" s="284">
        <f>HN61</f>
        <v>45078</v>
      </c>
      <c r="HY5" s="286"/>
      <c r="HZ5" s="284">
        <f>HN62</f>
        <v>45108</v>
      </c>
      <c r="IA5" s="286"/>
      <c r="IB5" s="284">
        <f>HN63</f>
        <v>45139</v>
      </c>
      <c r="IC5" s="286"/>
      <c r="ID5" s="284">
        <f>HN64</f>
        <v>45170</v>
      </c>
      <c r="IE5" s="286"/>
      <c r="IF5" s="284">
        <f>HN65</f>
        <v>45200</v>
      </c>
      <c r="IG5" s="286"/>
      <c r="IH5" s="284">
        <f>HN66</f>
        <v>45231</v>
      </c>
      <c r="II5" s="286"/>
      <c r="IJ5" s="284">
        <f>HN67</f>
        <v>45261</v>
      </c>
      <c r="IK5" s="286"/>
      <c r="IL5" s="287" t="s">
        <v>582</v>
      </c>
      <c r="IM5" s="288"/>
    </row>
    <row r="6" spans="2:247" ht="14.4" customHeight="1" x14ac:dyDescent="0.3">
      <c r="C6" s="44" t="s">
        <v>505</v>
      </c>
      <c r="D6" s="45" t="e">
        <f>Inversionista!P113</f>
        <v>#DIV/0!</v>
      </c>
      <c r="I6" s="100" t="s">
        <v>576</v>
      </c>
      <c r="J6" s="100" t="s">
        <v>297</v>
      </c>
      <c r="K6" s="100" t="s">
        <v>446</v>
      </c>
      <c r="L6" s="100" t="s">
        <v>447</v>
      </c>
      <c r="M6" s="100" t="s">
        <v>448</v>
      </c>
      <c r="W6" s="289">
        <v>1</v>
      </c>
      <c r="X6" s="536" t="s">
        <v>295</v>
      </c>
      <c r="Y6" s="536"/>
      <c r="Z6" s="536"/>
      <c r="AA6" s="536"/>
      <c r="AB6" s="536"/>
      <c r="AC6" s="536"/>
      <c r="AD6" s="537" t="s">
        <v>296</v>
      </c>
      <c r="AE6" s="537"/>
      <c r="AF6" s="537"/>
      <c r="AG6" s="290" t="s">
        <v>297</v>
      </c>
      <c r="AH6" s="291" t="s">
        <v>380</v>
      </c>
      <c r="AI6" s="292" t="s">
        <v>380</v>
      </c>
      <c r="AJ6" s="293" t="s">
        <v>380</v>
      </c>
      <c r="AK6" s="294" t="s">
        <v>380</v>
      </c>
      <c r="AM6" s="295">
        <f>AN6/7</f>
        <v>0</v>
      </c>
      <c r="AN6" s="295">
        <f>AO6/4.2</f>
        <v>0</v>
      </c>
      <c r="AO6" s="295">
        <f>AP6/12</f>
        <v>0</v>
      </c>
      <c r="AP6" s="295">
        <f>(AW6*$AR$1)+AW6</f>
        <v>0</v>
      </c>
      <c r="AQ6" s="296" t="s">
        <v>769</v>
      </c>
      <c r="AR6" s="297">
        <f>(AV6*$AR$1)+AV6</f>
        <v>0</v>
      </c>
      <c r="AS6" s="298" t="e">
        <f t="shared" ref="AS6:AS49" si="2">AR6/$AR$49</f>
        <v>#DIV/0!</v>
      </c>
      <c r="AT6" s="524" t="e">
        <f>SUM(AS6:AS10)</f>
        <v>#DIV/0!</v>
      </c>
      <c r="AU6" s="524" t="s">
        <v>294</v>
      </c>
      <c r="AV6" s="299">
        <v>0</v>
      </c>
      <c r="AW6" s="300">
        <v>0</v>
      </c>
      <c r="AX6" s="301"/>
      <c r="AY6" s="302" t="str">
        <f>W8</f>
        <v>Abril</v>
      </c>
      <c r="AZ6" s="303">
        <f>Tabla2[[#Totals],[Columna5]]</f>
        <v>0</v>
      </c>
      <c r="BA6" s="303" t="e">
        <f>Tabla29[[#Totals],[Columna5]]</f>
        <v>#DIV/0!</v>
      </c>
      <c r="BB6" s="303" t="e">
        <f>Tabla292[[#Totals],[Columna5]]</f>
        <v>#DIV/0!</v>
      </c>
      <c r="BC6" s="303" t="e">
        <f>Tabla2926[[#Totals],[Columna5]]</f>
        <v>#DIV/0!</v>
      </c>
      <c r="BD6" s="303" t="e">
        <f>Tabla29268[[#Totals],[Columna5]]</f>
        <v>#DIV/0!</v>
      </c>
      <c r="BE6" s="304" t="e">
        <f>SUM(AZ6:BD6)</f>
        <v>#DIV/0!</v>
      </c>
      <c r="BF6" s="305" t="e">
        <f>BE6/$BE$18</f>
        <v>#DIV/0!</v>
      </c>
      <c r="BK6" s="306" t="s">
        <v>389</v>
      </c>
      <c r="BL6" s="306" t="s">
        <v>390</v>
      </c>
      <c r="BM6" s="306" t="s">
        <v>391</v>
      </c>
      <c r="BN6" s="306" t="s">
        <v>392</v>
      </c>
      <c r="BO6" s="306" t="s">
        <v>393</v>
      </c>
      <c r="BP6" s="306" t="s">
        <v>394</v>
      </c>
      <c r="BQ6" s="306" t="s">
        <v>395</v>
      </c>
      <c r="BR6" s="306" t="s">
        <v>396</v>
      </c>
      <c r="BS6" s="306" t="s">
        <v>397</v>
      </c>
      <c r="BT6" s="306" t="s">
        <v>398</v>
      </c>
      <c r="BU6" s="306" t="s">
        <v>399</v>
      </c>
      <c r="BV6" s="306" t="s">
        <v>400</v>
      </c>
      <c r="BW6" s="306" t="s">
        <v>401</v>
      </c>
      <c r="BX6" s="306" t="s">
        <v>402</v>
      </c>
      <c r="BY6" s="306" t="s">
        <v>403</v>
      </c>
      <c r="BZ6" s="306" t="s">
        <v>404</v>
      </c>
      <c r="CE6" s="306" t="s">
        <v>389</v>
      </c>
      <c r="CF6" s="306" t="s">
        <v>390</v>
      </c>
      <c r="CG6" s="306" t="s">
        <v>391</v>
      </c>
      <c r="CH6" s="306" t="s">
        <v>392</v>
      </c>
      <c r="CI6" s="306" t="s">
        <v>393</v>
      </c>
      <c r="CJ6" s="306" t="s">
        <v>394</v>
      </c>
      <c r="CK6" s="306" t="s">
        <v>395</v>
      </c>
      <c r="CL6" s="306" t="s">
        <v>396</v>
      </c>
      <c r="CM6" s="306" t="s">
        <v>397</v>
      </c>
      <c r="CN6" s="306" t="s">
        <v>398</v>
      </c>
      <c r="CO6" s="306" t="s">
        <v>399</v>
      </c>
      <c r="CP6" s="306" t="s">
        <v>400</v>
      </c>
      <c r="CQ6" s="306" t="s">
        <v>401</v>
      </c>
      <c r="CR6" s="306" t="s">
        <v>402</v>
      </c>
      <c r="CS6" s="306" t="s">
        <v>403</v>
      </c>
      <c r="CT6" s="306" t="s">
        <v>404</v>
      </c>
      <c r="CY6" s="306" t="s">
        <v>389</v>
      </c>
      <c r="CZ6" s="306" t="s">
        <v>390</v>
      </c>
      <c r="DA6" s="306" t="s">
        <v>391</v>
      </c>
      <c r="DB6" s="306" t="s">
        <v>392</v>
      </c>
      <c r="DC6" s="306" t="s">
        <v>393</v>
      </c>
      <c r="DD6" s="306" t="s">
        <v>394</v>
      </c>
      <c r="DE6" s="306" t="s">
        <v>395</v>
      </c>
      <c r="DF6" s="306" t="s">
        <v>396</v>
      </c>
      <c r="DG6" s="306" t="s">
        <v>397</v>
      </c>
      <c r="DH6" s="306" t="s">
        <v>398</v>
      </c>
      <c r="DI6" s="306" t="s">
        <v>399</v>
      </c>
      <c r="DJ6" s="306" t="s">
        <v>400</v>
      </c>
      <c r="DK6" s="306" t="s">
        <v>401</v>
      </c>
      <c r="DL6" s="306" t="s">
        <v>402</v>
      </c>
      <c r="DM6" s="306" t="s">
        <v>403</v>
      </c>
      <c r="DN6" s="306" t="s">
        <v>404</v>
      </c>
      <c r="DS6" s="306" t="s">
        <v>389</v>
      </c>
      <c r="DT6" s="306" t="s">
        <v>390</v>
      </c>
      <c r="DU6" s="306" t="s">
        <v>391</v>
      </c>
      <c r="DV6" s="306" t="s">
        <v>392</v>
      </c>
      <c r="DW6" s="306" t="s">
        <v>393</v>
      </c>
      <c r="DX6" s="306" t="s">
        <v>394</v>
      </c>
      <c r="DY6" s="306" t="s">
        <v>395</v>
      </c>
      <c r="DZ6" s="306" t="s">
        <v>396</v>
      </c>
      <c r="EA6" s="306" t="s">
        <v>397</v>
      </c>
      <c r="EB6" s="306" t="s">
        <v>398</v>
      </c>
      <c r="EC6" s="306" t="s">
        <v>399</v>
      </c>
      <c r="ED6" s="306" t="s">
        <v>400</v>
      </c>
      <c r="EE6" s="306" t="s">
        <v>401</v>
      </c>
      <c r="EF6" s="306" t="s">
        <v>402</v>
      </c>
      <c r="EG6" s="306" t="s">
        <v>403</v>
      </c>
      <c r="EH6" s="306" t="s">
        <v>404</v>
      </c>
      <c r="EM6" s="306" t="s">
        <v>389</v>
      </c>
      <c r="EN6" s="306" t="s">
        <v>390</v>
      </c>
      <c r="EO6" s="306" t="s">
        <v>391</v>
      </c>
      <c r="EP6" s="306" t="s">
        <v>392</v>
      </c>
      <c r="EQ6" s="306" t="s">
        <v>393</v>
      </c>
      <c r="ER6" s="306" t="s">
        <v>394</v>
      </c>
      <c r="ES6" s="306" t="s">
        <v>395</v>
      </c>
      <c r="ET6" s="306" t="s">
        <v>396</v>
      </c>
      <c r="EU6" s="306" t="s">
        <v>397</v>
      </c>
      <c r="EV6" s="306" t="s">
        <v>398</v>
      </c>
      <c r="EW6" s="306" t="s">
        <v>399</v>
      </c>
      <c r="EX6" s="306" t="s">
        <v>400</v>
      </c>
      <c r="EY6" s="306" t="s">
        <v>401</v>
      </c>
      <c r="EZ6" s="306" t="s">
        <v>402</v>
      </c>
      <c r="FA6" s="306" t="s">
        <v>403</v>
      </c>
      <c r="FB6" s="306" t="s">
        <v>404</v>
      </c>
      <c r="FE6" s="307" t="s">
        <v>445</v>
      </c>
      <c r="FF6" s="308">
        <f>$AE$8</f>
        <v>0</v>
      </c>
      <c r="FG6" s="308">
        <f>$AE$9</f>
        <v>0</v>
      </c>
      <c r="FH6" s="308">
        <f>$AE$10</f>
        <v>0</v>
      </c>
      <c r="FI6" s="308">
        <f>$AE$11</f>
        <v>0</v>
      </c>
      <c r="FJ6" s="308">
        <f>$AE$12</f>
        <v>0</v>
      </c>
      <c r="FK6" s="308">
        <f>$AE$13</f>
        <v>0</v>
      </c>
      <c r="FL6" s="308">
        <f>$AE$14</f>
        <v>0</v>
      </c>
      <c r="FM6" s="308">
        <f>$AE$15</f>
        <v>0</v>
      </c>
      <c r="FN6" s="308">
        <f>$AE$16</f>
        <v>0</v>
      </c>
      <c r="FO6" s="308">
        <f>$AE$17</f>
        <v>0</v>
      </c>
      <c r="FP6" s="308">
        <f>$AE$18</f>
        <v>0</v>
      </c>
      <c r="FQ6" s="308">
        <f>$AE$19</f>
        <v>0</v>
      </c>
      <c r="FR6" s="309">
        <f>SUM(FF6:FQ6)</f>
        <v>0</v>
      </c>
      <c r="FS6" s="260" t="e">
        <f>FR6/$FR$6</f>
        <v>#DIV/0!</v>
      </c>
      <c r="FV6" s="307" t="s">
        <v>445</v>
      </c>
      <c r="FW6" s="308" t="e">
        <f>$BA$22*(1+GH1+GH2)</f>
        <v>#DIV/0!</v>
      </c>
      <c r="FX6" s="308" t="e">
        <f>$BA$23*(1+GH1+GH2)</f>
        <v>#DIV/0!</v>
      </c>
      <c r="FY6" s="308" t="e">
        <f>$BA$24*(1+GH1+GH2)</f>
        <v>#DIV/0!</v>
      </c>
      <c r="FZ6" s="308" t="e">
        <f>$BA$25*(1+GH1+GH2)</f>
        <v>#DIV/0!</v>
      </c>
      <c r="GA6" s="308" t="e">
        <f>$BA$26*(1+GH1+GH2)</f>
        <v>#DIV/0!</v>
      </c>
      <c r="GB6" s="308" t="e">
        <f>$BA$27*(1+GH1+GH2)</f>
        <v>#DIV/0!</v>
      </c>
      <c r="GC6" s="308" t="e">
        <f>$BA$28*(1+GH1+GH2)</f>
        <v>#DIV/0!</v>
      </c>
      <c r="GD6" s="308" t="e">
        <f>$BA$29*(1+GH1+GH2)</f>
        <v>#DIV/0!</v>
      </c>
      <c r="GE6" s="308" t="e">
        <f>$BA$30*(1+GH1+GH2)</f>
        <v>#DIV/0!</v>
      </c>
      <c r="GF6" s="308" t="e">
        <f>$BA$31*(1+GH1+GH2)</f>
        <v>#DIV/0!</v>
      </c>
      <c r="GG6" s="308" t="e">
        <f>$BA$32*(1+GH1+GH2)</f>
        <v>#DIV/0!</v>
      </c>
      <c r="GH6" s="308" t="e">
        <f>$BA$33</f>
        <v>#DIV/0!</v>
      </c>
      <c r="GI6" s="309" t="e">
        <f>SUM(FW6:GH6)</f>
        <v>#DIV/0!</v>
      </c>
      <c r="GJ6" s="262" t="e">
        <f>GI6/$GI$6</f>
        <v>#DIV/0!</v>
      </c>
      <c r="GL6" s="263"/>
      <c r="GM6" s="310" t="s">
        <v>502</v>
      </c>
      <c r="GN6" s="311">
        <f t="shared" ref="GN6:GZ6" si="3">SUM(GN7:GN9)</f>
        <v>0</v>
      </c>
      <c r="GO6" s="311">
        <f t="shared" si="3"/>
        <v>0</v>
      </c>
      <c r="GP6" s="311">
        <f t="shared" si="3"/>
        <v>0</v>
      </c>
      <c r="GQ6" s="311">
        <f t="shared" si="3"/>
        <v>0</v>
      </c>
      <c r="GR6" s="311">
        <f t="shared" si="3"/>
        <v>0</v>
      </c>
      <c r="GS6" s="311">
        <f t="shared" si="3"/>
        <v>0</v>
      </c>
      <c r="GT6" s="311">
        <f t="shared" si="3"/>
        <v>0</v>
      </c>
      <c r="GU6" s="311">
        <f t="shared" si="3"/>
        <v>0</v>
      </c>
      <c r="GV6" s="311">
        <f t="shared" si="3"/>
        <v>0</v>
      </c>
      <c r="GW6" s="311">
        <f t="shared" si="3"/>
        <v>0</v>
      </c>
      <c r="GX6" s="311">
        <f t="shared" si="3"/>
        <v>0</v>
      </c>
      <c r="GY6" s="311">
        <f t="shared" si="3"/>
        <v>0</v>
      </c>
      <c r="GZ6" s="311">
        <f t="shared" si="3"/>
        <v>0</v>
      </c>
      <c r="HA6" s="312" t="e">
        <f t="shared" ref="HA6:HA9" si="4">GZ6/$GZ$6</f>
        <v>#DIV/0!</v>
      </c>
      <c r="HD6" s="513"/>
      <c r="HE6" s="92" t="s">
        <v>515</v>
      </c>
      <c r="HF6" s="313">
        <v>0</v>
      </c>
      <c r="HG6" s="314">
        <v>350</v>
      </c>
      <c r="HH6" s="95">
        <f>HF6*HG6</f>
        <v>0</v>
      </c>
      <c r="HI6" s="315">
        <v>0</v>
      </c>
      <c r="HJ6" s="145"/>
      <c r="HM6" s="283"/>
      <c r="HN6" s="316"/>
      <c r="HO6" s="285"/>
      <c r="HP6" s="316"/>
      <c r="HQ6" s="286"/>
      <c r="HR6" s="316"/>
      <c r="HS6" s="286"/>
      <c r="HT6" s="316"/>
      <c r="HU6" s="286"/>
      <c r="HV6" s="316"/>
      <c r="HW6" s="286"/>
      <c r="HX6" s="316"/>
      <c r="HY6" s="286"/>
      <c r="HZ6" s="316"/>
      <c r="IA6" s="286"/>
      <c r="IB6" s="316"/>
      <c r="IC6" s="286"/>
      <c r="ID6" s="316"/>
      <c r="IE6" s="286"/>
      <c r="IF6" s="316"/>
      <c r="IG6" s="286"/>
      <c r="IH6" s="316"/>
      <c r="II6" s="286"/>
      <c r="IJ6" s="316"/>
      <c r="IK6" s="286"/>
      <c r="IL6" s="283"/>
      <c r="IM6" s="288"/>
    </row>
    <row r="7" spans="2:247" ht="14.4" customHeight="1" x14ac:dyDescent="0.3">
      <c r="C7" s="44" t="s">
        <v>568</v>
      </c>
      <c r="D7" s="108">
        <f>HH102</f>
        <v>0</v>
      </c>
      <c r="H7" s="44" t="s">
        <v>575</v>
      </c>
      <c r="I7" s="99">
        <v>0.04</v>
      </c>
      <c r="J7" s="99">
        <v>0.04</v>
      </c>
      <c r="K7" s="99">
        <v>0.04</v>
      </c>
      <c r="L7" s="99">
        <v>0.04</v>
      </c>
      <c r="M7" s="99">
        <v>0.04</v>
      </c>
      <c r="W7" s="317" t="s">
        <v>298</v>
      </c>
      <c r="X7" s="317" t="s">
        <v>299</v>
      </c>
      <c r="Y7" s="317" t="s">
        <v>300</v>
      </c>
      <c r="Z7" s="306" t="s">
        <v>301</v>
      </c>
      <c r="AA7" s="306" t="s">
        <v>302</v>
      </c>
      <c r="AB7" s="306" t="s">
        <v>303</v>
      </c>
      <c r="AC7" s="259" t="s">
        <v>304</v>
      </c>
      <c r="AD7" s="318" t="s">
        <v>299</v>
      </c>
      <c r="AE7" s="318" t="s">
        <v>305</v>
      </c>
      <c r="AF7" s="318" t="s">
        <v>304</v>
      </c>
      <c r="AG7" s="319" t="s">
        <v>305</v>
      </c>
      <c r="AH7" s="320" t="s">
        <v>381</v>
      </c>
      <c r="AI7" s="321" t="s">
        <v>381</v>
      </c>
      <c r="AJ7" s="322" t="s">
        <v>382</v>
      </c>
      <c r="AK7" s="323" t="s">
        <v>382</v>
      </c>
      <c r="AM7" s="295">
        <f t="shared" ref="AM7:AM48" si="5">AN7/7</f>
        <v>0</v>
      </c>
      <c r="AN7" s="295">
        <f t="shared" ref="AN7:AN48" si="6">AO7/4.2</f>
        <v>0</v>
      </c>
      <c r="AO7" s="295">
        <f t="shared" ref="AO7:AO48" si="7">AP7/12</f>
        <v>0</v>
      </c>
      <c r="AP7" s="295">
        <f t="shared" ref="AP7:AP48" si="8">(AW7*$AR$1)+AW7</f>
        <v>0</v>
      </c>
      <c r="AQ7" s="296" t="s">
        <v>770</v>
      </c>
      <c r="AR7" s="297">
        <f t="shared" ref="AR7:AR48" si="9">(AV7*$AR$1)+AV7</f>
        <v>0</v>
      </c>
      <c r="AS7" s="298" t="e">
        <f t="shared" si="2"/>
        <v>#DIV/0!</v>
      </c>
      <c r="AT7" s="524"/>
      <c r="AU7" s="524"/>
      <c r="AV7" s="299">
        <v>0</v>
      </c>
      <c r="AW7" s="300">
        <v>0</v>
      </c>
      <c r="AX7" s="301"/>
      <c r="AY7" s="302" t="str">
        <f t="shared" ref="AY7:AY17" si="10">W9</f>
        <v>Mayo</v>
      </c>
      <c r="AZ7" s="303">
        <f>Tabla2[[#Totals],[Columna6]]</f>
        <v>0</v>
      </c>
      <c r="BA7" s="303" t="e">
        <f>Tabla29[[#Totals],[Columna6]]</f>
        <v>#DIV/0!</v>
      </c>
      <c r="BB7" s="303" t="e">
        <f>Tabla292[[#Totals],[Columna6]]</f>
        <v>#DIV/0!</v>
      </c>
      <c r="BC7" s="303" t="e">
        <f>Tabla2926[[#Totals],[Columna6]]</f>
        <v>#DIV/0!</v>
      </c>
      <c r="BD7" s="303" t="e">
        <f>Tabla29268[[#Totals],[Columna6]]</f>
        <v>#DIV/0!</v>
      </c>
      <c r="BE7" s="304" t="e">
        <f t="shared" ref="BE7:BE17" si="11">SUM(AZ7:BD7)</f>
        <v>#DIV/0!</v>
      </c>
      <c r="BF7" s="305" t="e">
        <f t="shared" ref="BF7:BF18" si="12">BE7/$BE$18</f>
        <v>#DIV/0!</v>
      </c>
      <c r="BH7" s="532" t="s">
        <v>408</v>
      </c>
      <c r="BI7" s="532"/>
      <c r="BJ7" s="271" t="s">
        <v>407</v>
      </c>
      <c r="BK7" s="306" t="s">
        <v>291</v>
      </c>
      <c r="BL7" s="306" t="s">
        <v>383</v>
      </c>
      <c r="BM7" s="306" t="s">
        <v>384</v>
      </c>
      <c r="BN7" s="306" t="s">
        <v>378</v>
      </c>
      <c r="BO7" s="306" t="str">
        <f>$BN$5</f>
        <v>Abril</v>
      </c>
      <c r="BP7" s="306" t="str">
        <f>$W$9</f>
        <v>Mayo</v>
      </c>
      <c r="BQ7" s="306" t="str">
        <f>$W$10</f>
        <v>Junio</v>
      </c>
      <c r="BR7" s="306" t="str">
        <f>$W$11</f>
        <v>Julio</v>
      </c>
      <c r="BS7" s="306" t="str">
        <f>$W$12</f>
        <v>Agosto</v>
      </c>
      <c r="BT7" s="306" t="str">
        <f>$W$13</f>
        <v>Septiembre</v>
      </c>
      <c r="BU7" s="306" t="str">
        <f>$W$14</f>
        <v>Octubre</v>
      </c>
      <c r="BV7" s="306" t="str">
        <f>$W$15</f>
        <v>Noviembre</v>
      </c>
      <c r="BW7" s="306" t="str">
        <f>$W$16</f>
        <v>Diciembre</v>
      </c>
      <c r="BX7" s="306" t="str">
        <f>$W$17</f>
        <v>Enero</v>
      </c>
      <c r="BY7" s="306" t="str">
        <f>$W$18</f>
        <v>Febrero</v>
      </c>
      <c r="BZ7" s="306" t="str">
        <f>$W$19</f>
        <v>Marzo</v>
      </c>
      <c r="CB7" s="532" t="s">
        <v>408</v>
      </c>
      <c r="CC7" s="532"/>
      <c r="CD7" s="271" t="s">
        <v>407</v>
      </c>
      <c r="CE7" s="306" t="s">
        <v>291</v>
      </c>
      <c r="CF7" s="306" t="s">
        <v>383</v>
      </c>
      <c r="CG7" s="306" t="s">
        <v>384</v>
      </c>
      <c r="CH7" s="306" t="s">
        <v>422</v>
      </c>
      <c r="CI7" s="306" t="str">
        <f>$BN$5</f>
        <v>Abril</v>
      </c>
      <c r="CJ7" s="306" t="str">
        <f>$W$9</f>
        <v>Mayo</v>
      </c>
      <c r="CK7" s="306" t="str">
        <f>$W$10</f>
        <v>Junio</v>
      </c>
      <c r="CL7" s="306" t="str">
        <f>$W$11</f>
        <v>Julio</v>
      </c>
      <c r="CM7" s="306" t="str">
        <f>$W$12</f>
        <v>Agosto</v>
      </c>
      <c r="CN7" s="306" t="str">
        <f>$W$13</f>
        <v>Septiembre</v>
      </c>
      <c r="CO7" s="306" t="str">
        <f>$W$14</f>
        <v>Octubre</v>
      </c>
      <c r="CP7" s="306" t="str">
        <f>$W$15</f>
        <v>Noviembre</v>
      </c>
      <c r="CQ7" s="306" t="str">
        <f>$W$16</f>
        <v>Diciembre</v>
      </c>
      <c r="CR7" s="306" t="str">
        <f>$W$17</f>
        <v>Enero</v>
      </c>
      <c r="CS7" s="306" t="str">
        <f>$W$18</f>
        <v>Febrero</v>
      </c>
      <c r="CT7" s="306" t="str">
        <f>$W$19</f>
        <v>Marzo</v>
      </c>
      <c r="CV7" s="532" t="s">
        <v>408</v>
      </c>
      <c r="CW7" s="532"/>
      <c r="CX7" s="271" t="s">
        <v>407</v>
      </c>
      <c r="CY7" s="306" t="s">
        <v>291</v>
      </c>
      <c r="CZ7" s="306" t="s">
        <v>383</v>
      </c>
      <c r="DA7" s="306" t="s">
        <v>384</v>
      </c>
      <c r="DB7" s="306" t="s">
        <v>422</v>
      </c>
      <c r="DC7" s="306" t="str">
        <f>$BN$5</f>
        <v>Abril</v>
      </c>
      <c r="DD7" s="306" t="str">
        <f>$W$9</f>
        <v>Mayo</v>
      </c>
      <c r="DE7" s="306" t="str">
        <f>$W$10</f>
        <v>Junio</v>
      </c>
      <c r="DF7" s="306" t="str">
        <f>$W$11</f>
        <v>Julio</v>
      </c>
      <c r="DG7" s="306" t="str">
        <f>$W$12</f>
        <v>Agosto</v>
      </c>
      <c r="DH7" s="306" t="str">
        <f>$W$13</f>
        <v>Septiembre</v>
      </c>
      <c r="DI7" s="306" t="str">
        <f>$W$14</f>
        <v>Octubre</v>
      </c>
      <c r="DJ7" s="306" t="str">
        <f>$W$15</f>
        <v>Noviembre</v>
      </c>
      <c r="DK7" s="306" t="str">
        <f>$W$16</f>
        <v>Diciembre</v>
      </c>
      <c r="DL7" s="306" t="str">
        <f>$W$17</f>
        <v>Enero</v>
      </c>
      <c r="DM7" s="306" t="str">
        <f>$W$18</f>
        <v>Febrero</v>
      </c>
      <c r="DN7" s="306" t="str">
        <f>$W$19</f>
        <v>Marzo</v>
      </c>
      <c r="DP7" s="532" t="s">
        <v>408</v>
      </c>
      <c r="DQ7" s="532"/>
      <c r="DR7" s="271" t="s">
        <v>407</v>
      </c>
      <c r="DS7" s="306" t="s">
        <v>291</v>
      </c>
      <c r="DT7" s="306" t="s">
        <v>383</v>
      </c>
      <c r="DU7" s="306" t="s">
        <v>384</v>
      </c>
      <c r="DV7" s="306" t="s">
        <v>422</v>
      </c>
      <c r="DW7" s="306" t="str">
        <f>$BN$5</f>
        <v>Abril</v>
      </c>
      <c r="DX7" s="306" t="str">
        <f>$W$9</f>
        <v>Mayo</v>
      </c>
      <c r="DY7" s="306" t="str">
        <f>$W$10</f>
        <v>Junio</v>
      </c>
      <c r="DZ7" s="306" t="str">
        <f>$W$11</f>
        <v>Julio</v>
      </c>
      <c r="EA7" s="306" t="str">
        <f>$W$12</f>
        <v>Agosto</v>
      </c>
      <c r="EB7" s="306" t="str">
        <f>$W$13</f>
        <v>Septiembre</v>
      </c>
      <c r="EC7" s="306" t="str">
        <f>$W$14</f>
        <v>Octubre</v>
      </c>
      <c r="ED7" s="306" t="str">
        <f>$W$15</f>
        <v>Noviembre</v>
      </c>
      <c r="EE7" s="306" t="str">
        <f>$W$16</f>
        <v>Diciembre</v>
      </c>
      <c r="EF7" s="306" t="str">
        <f>$W$17</f>
        <v>Enero</v>
      </c>
      <c r="EG7" s="306" t="str">
        <f>$W$18</f>
        <v>Febrero</v>
      </c>
      <c r="EH7" s="306" t="str">
        <f>$W$19</f>
        <v>Marzo</v>
      </c>
      <c r="EJ7" s="532" t="s">
        <v>408</v>
      </c>
      <c r="EK7" s="532"/>
      <c r="EL7" s="271" t="s">
        <v>407</v>
      </c>
      <c r="EM7" s="306" t="s">
        <v>291</v>
      </c>
      <c r="EN7" s="306" t="s">
        <v>383</v>
      </c>
      <c r="EO7" s="306" t="s">
        <v>384</v>
      </c>
      <c r="EP7" s="306" t="s">
        <v>422</v>
      </c>
      <c r="EQ7" s="306" t="str">
        <f>$BN$5</f>
        <v>Abril</v>
      </c>
      <c r="ER7" s="306" t="str">
        <f>$W$9</f>
        <v>Mayo</v>
      </c>
      <c r="ES7" s="306" t="str">
        <f>$W$10</f>
        <v>Junio</v>
      </c>
      <c r="ET7" s="306" t="str">
        <f>$W$11</f>
        <v>Julio</v>
      </c>
      <c r="EU7" s="306" t="str">
        <f>$W$12</f>
        <v>Agosto</v>
      </c>
      <c r="EV7" s="306" t="str">
        <f>$W$13</f>
        <v>Septiembre</v>
      </c>
      <c r="EW7" s="306" t="str">
        <f>$W$14</f>
        <v>Octubre</v>
      </c>
      <c r="EX7" s="306" t="str">
        <f>$W$15</f>
        <v>Noviembre</v>
      </c>
      <c r="EY7" s="306" t="str">
        <f>$W$16</f>
        <v>Diciembre</v>
      </c>
      <c r="EZ7" s="306" t="str">
        <f>$W$17</f>
        <v>Enero</v>
      </c>
      <c r="FA7" s="306" t="str">
        <f>$W$18</f>
        <v>Febrero</v>
      </c>
      <c r="FB7" s="306" t="str">
        <f>$W$19</f>
        <v>Marzo</v>
      </c>
      <c r="FE7" s="324" t="s">
        <v>16</v>
      </c>
      <c r="FF7" s="325">
        <f>FF6*$FS$7</f>
        <v>0</v>
      </c>
      <c r="FG7" s="325">
        <f t="shared" ref="FG7:FQ7" si="13">FG6*$FS$7</f>
        <v>0</v>
      </c>
      <c r="FH7" s="325">
        <f t="shared" si="13"/>
        <v>0</v>
      </c>
      <c r="FI7" s="325">
        <f t="shared" si="13"/>
        <v>0</v>
      </c>
      <c r="FJ7" s="325">
        <f t="shared" si="13"/>
        <v>0</v>
      </c>
      <c r="FK7" s="325">
        <f t="shared" si="13"/>
        <v>0</v>
      </c>
      <c r="FL7" s="325">
        <f t="shared" si="13"/>
        <v>0</v>
      </c>
      <c r="FM7" s="325">
        <f t="shared" si="13"/>
        <v>0</v>
      </c>
      <c r="FN7" s="325">
        <f t="shared" si="13"/>
        <v>0</v>
      </c>
      <c r="FO7" s="325">
        <f t="shared" si="13"/>
        <v>0</v>
      </c>
      <c r="FP7" s="325">
        <f t="shared" si="13"/>
        <v>0</v>
      </c>
      <c r="FQ7" s="325">
        <f t="shared" si="13"/>
        <v>0</v>
      </c>
      <c r="FR7" s="309">
        <f t="shared" ref="FR7:FR10" si="14">SUM(FF7:FQ7)</f>
        <v>0</v>
      </c>
      <c r="FS7" s="326">
        <v>2.5000000000000001E-2</v>
      </c>
      <c r="FV7" s="324" t="s">
        <v>16</v>
      </c>
      <c r="FW7" s="325" t="e">
        <f>FW6*$FS$7</f>
        <v>#DIV/0!</v>
      </c>
      <c r="FX7" s="325" t="e">
        <f t="shared" ref="FX7:GH7" si="15">FX6*$FS$7</f>
        <v>#DIV/0!</v>
      </c>
      <c r="FY7" s="325" t="e">
        <f t="shared" si="15"/>
        <v>#DIV/0!</v>
      </c>
      <c r="FZ7" s="325" t="e">
        <f t="shared" si="15"/>
        <v>#DIV/0!</v>
      </c>
      <c r="GA7" s="325" t="e">
        <f t="shared" si="15"/>
        <v>#DIV/0!</v>
      </c>
      <c r="GB7" s="325" t="e">
        <f t="shared" si="15"/>
        <v>#DIV/0!</v>
      </c>
      <c r="GC7" s="325" t="e">
        <f t="shared" si="15"/>
        <v>#DIV/0!</v>
      </c>
      <c r="GD7" s="325" t="e">
        <f t="shared" si="15"/>
        <v>#DIV/0!</v>
      </c>
      <c r="GE7" s="325" t="e">
        <f t="shared" si="15"/>
        <v>#DIV/0!</v>
      </c>
      <c r="GF7" s="325" t="e">
        <f t="shared" si="15"/>
        <v>#DIV/0!</v>
      </c>
      <c r="GG7" s="325" t="e">
        <f t="shared" si="15"/>
        <v>#DIV/0!</v>
      </c>
      <c r="GH7" s="325" t="e">
        <f t="shared" si="15"/>
        <v>#DIV/0!</v>
      </c>
      <c r="GI7" s="309" t="e">
        <f t="shared" ref="GI7:GI10" si="16">SUM(FW7:GH7)</f>
        <v>#DIV/0!</v>
      </c>
      <c r="GJ7" s="246">
        <v>2.5000000000000001E-2</v>
      </c>
      <c r="GL7" s="250">
        <v>1</v>
      </c>
      <c r="GM7" s="250" t="s">
        <v>454</v>
      </c>
      <c r="GN7" s="327">
        <f>FF6</f>
        <v>0</v>
      </c>
      <c r="GO7" s="327">
        <f t="shared" ref="GO7:GY7" si="17">FG6</f>
        <v>0</v>
      </c>
      <c r="GP7" s="327">
        <f t="shared" si="17"/>
        <v>0</v>
      </c>
      <c r="GQ7" s="327">
        <f t="shared" si="17"/>
        <v>0</v>
      </c>
      <c r="GR7" s="327">
        <f t="shared" si="17"/>
        <v>0</v>
      </c>
      <c r="GS7" s="327">
        <f t="shared" si="17"/>
        <v>0</v>
      </c>
      <c r="GT7" s="327">
        <f t="shared" si="17"/>
        <v>0</v>
      </c>
      <c r="GU7" s="327">
        <f t="shared" si="17"/>
        <v>0</v>
      </c>
      <c r="GV7" s="327">
        <f t="shared" si="17"/>
        <v>0</v>
      </c>
      <c r="GW7" s="327">
        <f t="shared" si="17"/>
        <v>0</v>
      </c>
      <c r="GX7" s="327">
        <f t="shared" si="17"/>
        <v>0</v>
      </c>
      <c r="GY7" s="327">
        <f t="shared" si="17"/>
        <v>0</v>
      </c>
      <c r="GZ7" s="328">
        <f>SUM(GN7:GY7)</f>
        <v>0</v>
      </c>
      <c r="HA7" s="329" t="e">
        <f t="shared" si="4"/>
        <v>#DIV/0!</v>
      </c>
      <c r="HD7" s="513"/>
      <c r="HE7" s="92" t="s">
        <v>516</v>
      </c>
      <c r="HF7" s="313">
        <v>0</v>
      </c>
      <c r="HG7" s="314">
        <v>350</v>
      </c>
      <c r="HH7" s="95">
        <f>HF7*HG7</f>
        <v>0</v>
      </c>
      <c r="HI7" s="315">
        <v>0</v>
      </c>
      <c r="HJ7" s="145"/>
      <c r="HM7" s="330" t="s">
        <v>583</v>
      </c>
      <c r="HN7" s="331">
        <f>HN13*1.15</f>
        <v>0</v>
      </c>
      <c r="HO7" s="332" t="e">
        <f>HN7/HN$9</f>
        <v>#DIV/0!</v>
      </c>
      <c r="HP7" s="331">
        <f>HP13*1.15</f>
        <v>0</v>
      </c>
      <c r="HQ7" s="332" t="e">
        <f>HP7/HP$9</f>
        <v>#DIV/0!</v>
      </c>
      <c r="HR7" s="331">
        <f>HR13*1.15</f>
        <v>0</v>
      </c>
      <c r="HS7" s="332" t="e">
        <f>HR7/HR$9</f>
        <v>#DIV/0!</v>
      </c>
      <c r="HT7" s="331">
        <f>HT13*1.15</f>
        <v>0</v>
      </c>
      <c r="HU7" s="332" t="e">
        <f>HT7/HT$9</f>
        <v>#DIV/0!</v>
      </c>
      <c r="HV7" s="331">
        <f>HV13*1.15</f>
        <v>0</v>
      </c>
      <c r="HW7" s="332" t="e">
        <f>HV7/HV$9</f>
        <v>#DIV/0!</v>
      </c>
      <c r="HX7" s="331">
        <f>HX13*1.15</f>
        <v>0</v>
      </c>
      <c r="HY7" s="332" t="e">
        <f>HX7/HX$9</f>
        <v>#DIV/0!</v>
      </c>
      <c r="HZ7" s="331">
        <f>HZ13*1.15</f>
        <v>0</v>
      </c>
      <c r="IA7" s="332" t="e">
        <f>HZ7/HZ$9</f>
        <v>#DIV/0!</v>
      </c>
      <c r="IB7" s="331">
        <f>IB13*1.15</f>
        <v>0</v>
      </c>
      <c r="IC7" s="332" t="e">
        <f>IB7/IB$9</f>
        <v>#DIV/0!</v>
      </c>
      <c r="ID7" s="331">
        <f>ID13*1.15</f>
        <v>0</v>
      </c>
      <c r="IE7" s="332" t="e">
        <f>ID7/ID$9</f>
        <v>#DIV/0!</v>
      </c>
      <c r="IF7" s="331">
        <f>IF13*1.15</f>
        <v>0</v>
      </c>
      <c r="IG7" s="332" t="e">
        <f>IF7/IF$9</f>
        <v>#DIV/0!</v>
      </c>
      <c r="IH7" s="331">
        <f>IH13*1.15</f>
        <v>0</v>
      </c>
      <c r="II7" s="332" t="e">
        <f>IH7/IH$9</f>
        <v>#DIV/0!</v>
      </c>
      <c r="IJ7" s="331">
        <f>IJ13*1.15</f>
        <v>0</v>
      </c>
      <c r="IK7" s="332" t="e">
        <f>IJ7/IJ$9</f>
        <v>#DIV/0!</v>
      </c>
      <c r="IL7" s="333">
        <f>HN7+HP7+HR7+HT7+HV7+HX7+HZ7+IB7+ID7+IF7+IH7+IJ7</f>
        <v>0</v>
      </c>
      <c r="IM7" s="332" t="e">
        <f>IL7/IL$9</f>
        <v>#DIV/0!</v>
      </c>
    </row>
    <row r="8" spans="2:247" ht="14.4" customHeight="1" x14ac:dyDescent="0.3">
      <c r="C8" s="44" t="s">
        <v>567</v>
      </c>
      <c r="D8" s="108">
        <f>D7*D14</f>
        <v>0</v>
      </c>
      <c r="H8" s="44" t="s">
        <v>577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W8" s="334" t="s">
        <v>324</v>
      </c>
      <c r="X8" s="335" t="e">
        <f>X34</f>
        <v>#DIV/0!</v>
      </c>
      <c r="Y8" s="336" t="s">
        <v>2</v>
      </c>
      <c r="Z8" s="337">
        <f>AM49</f>
        <v>0</v>
      </c>
      <c r="AA8" s="338">
        <f t="shared" ref="AA8:AA19" si="18">AB8/30.42</f>
        <v>0</v>
      </c>
      <c r="AB8" s="339">
        <f>AB37</f>
        <v>0</v>
      </c>
      <c r="AC8" s="339">
        <f>+AB8</f>
        <v>0</v>
      </c>
      <c r="AD8" s="340">
        <f>IF(AE25&gt;100%,100%,AE25)</f>
        <v>0.56000000000000005</v>
      </c>
      <c r="AE8" s="341">
        <f>(AB8*AD8)*$W$6</f>
        <v>0</v>
      </c>
      <c r="AF8" s="342">
        <f>+AE8</f>
        <v>0</v>
      </c>
      <c r="AG8" s="343">
        <f>AB25</f>
        <v>0</v>
      </c>
      <c r="AH8" s="344">
        <f>AE8/30.42</f>
        <v>0</v>
      </c>
      <c r="AI8" s="338">
        <f>AG8/30.42</f>
        <v>0</v>
      </c>
      <c r="AJ8" s="345" t="e">
        <f>AK8*AD8</f>
        <v>#DIV/0!</v>
      </c>
      <c r="AK8" s="346" t="e">
        <f>AI8*Z8/AA8</f>
        <v>#DIV/0!</v>
      </c>
      <c r="AM8" s="295">
        <f t="shared" si="5"/>
        <v>0</v>
      </c>
      <c r="AN8" s="295">
        <f t="shared" si="6"/>
        <v>0</v>
      </c>
      <c r="AO8" s="295">
        <f t="shared" si="7"/>
        <v>0</v>
      </c>
      <c r="AP8" s="295">
        <f t="shared" si="8"/>
        <v>0</v>
      </c>
      <c r="AQ8" s="296" t="s">
        <v>771</v>
      </c>
      <c r="AR8" s="297">
        <f t="shared" si="9"/>
        <v>0</v>
      </c>
      <c r="AS8" s="298" t="e">
        <f t="shared" si="2"/>
        <v>#DIV/0!</v>
      </c>
      <c r="AT8" s="524"/>
      <c r="AU8" s="524"/>
      <c r="AV8" s="299">
        <v>0</v>
      </c>
      <c r="AW8" s="300">
        <v>0</v>
      </c>
      <c r="AX8" s="301"/>
      <c r="AY8" s="302" t="str">
        <f t="shared" si="10"/>
        <v>Junio</v>
      </c>
      <c r="AZ8" s="303">
        <f>Tabla2[[#Totals],[Columna7]]</f>
        <v>0</v>
      </c>
      <c r="BA8" s="303" t="e">
        <f>Tabla29[[#Totals],[Columna7]]</f>
        <v>#DIV/0!</v>
      </c>
      <c r="BB8" s="303" t="e">
        <f>Tabla292[[#Totals],[Columna7]]</f>
        <v>#DIV/0!</v>
      </c>
      <c r="BC8" s="303" t="e">
        <f>Tabla2926[[#Totals],[Columna7]]</f>
        <v>#DIV/0!</v>
      </c>
      <c r="BD8" s="303" t="e">
        <f>Tabla29268[[#Totals],[Columna7]]</f>
        <v>#DIV/0!</v>
      </c>
      <c r="BE8" s="304" t="e">
        <f t="shared" si="11"/>
        <v>#DIV/0!</v>
      </c>
      <c r="BF8" s="305" t="e">
        <f t="shared" si="12"/>
        <v>#DIV/0!</v>
      </c>
      <c r="BH8" s="524" t="s">
        <v>294</v>
      </c>
      <c r="BI8" s="524" t="e">
        <f>SUM(BJ8:BJ12)</f>
        <v>#DIV/0!</v>
      </c>
      <c r="BJ8" s="298" t="e">
        <f>$AS$6</f>
        <v>#DIV/0!</v>
      </c>
      <c r="BK8" s="242" t="str">
        <f t="shared" ref="BK8:BK50" si="19">AQ6</f>
        <v>C1</v>
      </c>
      <c r="BL8" s="303">
        <f t="shared" ref="BL8:BN50" si="20">AM6</f>
        <v>0</v>
      </c>
      <c r="BM8" s="303">
        <f t="shared" si="20"/>
        <v>0</v>
      </c>
      <c r="BN8" s="303">
        <f t="shared" si="20"/>
        <v>0</v>
      </c>
      <c r="BO8" s="303">
        <f t="shared" ref="BO8:BO50" si="21">$BN8*$AD$8</f>
        <v>0</v>
      </c>
      <c r="BP8" s="303">
        <f t="shared" ref="BP8:BP50" si="22">$BN8*$AD$9</f>
        <v>0</v>
      </c>
      <c r="BQ8" s="303">
        <f t="shared" ref="BQ8:BQ50" si="23">$BN8*$AD$10</f>
        <v>0</v>
      </c>
      <c r="BR8" s="303">
        <f t="shared" ref="BR8:BR50" si="24">$BN8*$AD$11</f>
        <v>0</v>
      </c>
      <c r="BS8" s="303">
        <f t="shared" ref="BS8:BS50" si="25">$BN8*$AD$12</f>
        <v>0</v>
      </c>
      <c r="BT8" s="303">
        <f t="shared" ref="BT8:BT50" si="26">$BN8*$AD$13</f>
        <v>0</v>
      </c>
      <c r="BU8" s="303">
        <f t="shared" ref="BU8:BU50" si="27">$BN8*$AD$14</f>
        <v>0</v>
      </c>
      <c r="BV8" s="303">
        <f t="shared" ref="BV8:BV50" si="28">$BN8*$AD$15</f>
        <v>0</v>
      </c>
      <c r="BW8" s="303">
        <f t="shared" ref="BW8:BW50" si="29">$BN8*$AD$16</f>
        <v>0</v>
      </c>
      <c r="BX8" s="303">
        <f t="shared" ref="BX8:BX50" si="30">$BN8*$AD$17</f>
        <v>0</v>
      </c>
      <c r="BY8" s="303">
        <f t="shared" ref="BY8:BY50" si="31">$BN8*$AD$18</f>
        <v>0</v>
      </c>
      <c r="BZ8" s="303">
        <f t="shared" ref="BZ8:BZ50" si="32">$BN8*$AD$19</f>
        <v>0</v>
      </c>
      <c r="CB8" s="524" t="s">
        <v>294</v>
      </c>
      <c r="CC8" s="524" t="e">
        <f>SUM(CD8:CD12)</f>
        <v>#DIV/0!</v>
      </c>
      <c r="CD8" s="298" t="e">
        <f>$AS$6</f>
        <v>#DIV/0!</v>
      </c>
      <c r="CE8" s="242" t="str">
        <f>Tabla2[[#This Row],[Columna1]]</f>
        <v>C1</v>
      </c>
      <c r="CF8" s="303">
        <f>Tabla29[[#This Row],[Columna3]]/7</f>
        <v>0</v>
      </c>
      <c r="CG8" s="303">
        <f>Tabla29[[#This Row],[Columna4]]/4.2</f>
        <v>0</v>
      </c>
      <c r="CH8" s="303">
        <f>Tabla2[[#This Row],[Columna16]]</f>
        <v>0</v>
      </c>
      <c r="CI8" s="303" t="e">
        <f>(Tabla29[[#This Row],[Columna4]]*CI$5/$BZ$5)*$CH$4</f>
        <v>#DIV/0!</v>
      </c>
      <c r="CJ8" s="303" t="e">
        <f>(Tabla29[[#This Row],[Columna4]]*CJ$5/$BZ$5)*$CH$4</f>
        <v>#DIV/0!</v>
      </c>
      <c r="CK8" s="303" t="e">
        <f>(Tabla29[[#This Row],[Columna4]]*CK$5/$BZ$5)*$CH$4</f>
        <v>#DIV/0!</v>
      </c>
      <c r="CL8" s="303" t="e">
        <f>(Tabla29[[#This Row],[Columna4]]*CL$5/$BZ$5)*$CH$4</f>
        <v>#DIV/0!</v>
      </c>
      <c r="CM8" s="303" t="e">
        <f>(Tabla29[[#This Row],[Columna4]]*CM$5/$BZ$5)*$CH$4</f>
        <v>#DIV/0!</v>
      </c>
      <c r="CN8" s="303" t="e">
        <f>(Tabla29[[#This Row],[Columna4]]*CN$5/$BZ$5)*$CH$4</f>
        <v>#DIV/0!</v>
      </c>
      <c r="CO8" s="303" t="e">
        <f>(Tabla29[[#This Row],[Columna4]]*CO$5/$BZ$5)*$CH$4</f>
        <v>#DIV/0!</v>
      </c>
      <c r="CP8" s="303" t="e">
        <f>(Tabla29[[#This Row],[Columna4]]*CP$5/$BZ$5)*$CH$4</f>
        <v>#DIV/0!</v>
      </c>
      <c r="CQ8" s="303" t="e">
        <f>(Tabla29[[#This Row],[Columna4]]*CQ$5/$BZ$5)*$CH$4</f>
        <v>#DIV/0!</v>
      </c>
      <c r="CR8" s="303" t="e">
        <f>(Tabla29[[#This Row],[Columna4]]*CR$5/$BZ$5)*$CH$4</f>
        <v>#DIV/0!</v>
      </c>
      <c r="CS8" s="303" t="e">
        <f>(Tabla29[[#This Row],[Columna4]]*CS$5/$BZ$5)*$CH$4</f>
        <v>#DIV/0!</v>
      </c>
      <c r="CT8" s="303" t="e">
        <f>(Tabla29[[#This Row],[Columna4]]*CT$5/$BZ$5)*$CH$4</f>
        <v>#DIV/0!</v>
      </c>
      <c r="CV8" s="524" t="s">
        <v>294</v>
      </c>
      <c r="CW8" s="524" t="e">
        <f>SUM(CX8:CX12)</f>
        <v>#DIV/0!</v>
      </c>
      <c r="CX8" s="298" t="e">
        <f>$AS$6</f>
        <v>#DIV/0!</v>
      </c>
      <c r="CY8" s="242" t="str">
        <f>Tabla2[[#This Row],[Columna1]]</f>
        <v>C1</v>
      </c>
      <c r="CZ8" s="303" t="e">
        <f>Tabla292[[#This Row],[Columna3]]/7</f>
        <v>#DIV/0!</v>
      </c>
      <c r="DA8" s="303" t="e">
        <f>Tabla292[[#This Row],[Columna4]]/4.2</f>
        <v>#DIV/0!</v>
      </c>
      <c r="DB8" s="303" t="e">
        <f>Tabla29[[#This Row],[Columna16]]</f>
        <v>#DIV/0!</v>
      </c>
      <c r="DC8" s="303" t="e">
        <f>(Tabla292[[#This Row],[Columna4]]*DC$5/$CT$5)*$DB$4</f>
        <v>#DIV/0!</v>
      </c>
      <c r="DD8" s="303" t="e">
        <f>(Tabla292[[#This Row],[Columna4]]*DD$5/$CT$5)*$DB$4</f>
        <v>#DIV/0!</v>
      </c>
      <c r="DE8" s="303" t="e">
        <f>(Tabla292[[#This Row],[Columna4]]*DE$5/$CT$5)*$DB$4</f>
        <v>#DIV/0!</v>
      </c>
      <c r="DF8" s="303" t="e">
        <f>(Tabla292[[#This Row],[Columna4]]*DF$5/$CT$5)*$DB$4</f>
        <v>#DIV/0!</v>
      </c>
      <c r="DG8" s="303" t="e">
        <f>(Tabla292[[#This Row],[Columna4]]*DG$5/$CT$5)*$DB$4</f>
        <v>#DIV/0!</v>
      </c>
      <c r="DH8" s="303" t="e">
        <f>(Tabla292[[#This Row],[Columna4]]*DH$5/$CT$5)*$DB$4</f>
        <v>#DIV/0!</v>
      </c>
      <c r="DI8" s="303" t="e">
        <f>(Tabla292[[#This Row],[Columna4]]*DI$5/$CT$5)*$DB$4</f>
        <v>#DIV/0!</v>
      </c>
      <c r="DJ8" s="303" t="e">
        <f>(Tabla292[[#This Row],[Columna4]]*DJ$5/$CT$5)*$DB$4</f>
        <v>#DIV/0!</v>
      </c>
      <c r="DK8" s="303" t="e">
        <f>(Tabla292[[#This Row],[Columna4]]*DK$5/$CT$5)*$DB$4</f>
        <v>#DIV/0!</v>
      </c>
      <c r="DL8" s="303" t="e">
        <f>(Tabla292[[#This Row],[Columna4]]*DL$5/$CT$5)*$DB$4</f>
        <v>#DIV/0!</v>
      </c>
      <c r="DM8" s="303" t="e">
        <f>(Tabla292[[#This Row],[Columna4]]*DM$5/$CT$5)*$DB$4</f>
        <v>#DIV/0!</v>
      </c>
      <c r="DN8" s="303" t="e">
        <f>(Tabla292[[#This Row],[Columna4]]*DN$5/$CT$5)*$DB$4</f>
        <v>#DIV/0!</v>
      </c>
      <c r="DP8" s="524" t="s">
        <v>294</v>
      </c>
      <c r="DQ8" s="524" t="e">
        <f>SUM(DR8:DR12)</f>
        <v>#DIV/0!</v>
      </c>
      <c r="DR8" s="298" t="e">
        <f>$AS$6</f>
        <v>#DIV/0!</v>
      </c>
      <c r="DS8" s="242" t="str">
        <f>Tabla2[[#This Row],[Columna1]]</f>
        <v>C1</v>
      </c>
      <c r="DT8" s="303" t="e">
        <f>Tabla2926[[#This Row],[Columna3]]/7</f>
        <v>#DIV/0!</v>
      </c>
      <c r="DU8" s="303" t="e">
        <f>Tabla2926[[#This Row],[Columna4]]/4.2</f>
        <v>#DIV/0!</v>
      </c>
      <c r="DV8" s="303" t="e">
        <f>Tabla292[[#This Row],[Columna16]]</f>
        <v>#DIV/0!</v>
      </c>
      <c r="DW8" s="303" t="e">
        <f>(Tabla2926[[#This Row],[Columna4]]*DW$5/$DN$5)*$DV$4</f>
        <v>#DIV/0!</v>
      </c>
      <c r="DX8" s="303" t="e">
        <f>(Tabla2926[[#This Row],[Columna4]]*DX$5/$DN$5)*$DV$4</f>
        <v>#DIV/0!</v>
      </c>
      <c r="DY8" s="303" t="e">
        <f>(Tabla2926[[#This Row],[Columna4]]*DY$5/$DN$5)*$DV$4</f>
        <v>#DIV/0!</v>
      </c>
      <c r="DZ8" s="303" t="e">
        <f>(Tabla2926[[#This Row],[Columna4]]*DZ$5/$DN$5)*$DV$4</f>
        <v>#DIV/0!</v>
      </c>
      <c r="EA8" s="303" t="e">
        <f>(Tabla2926[[#This Row],[Columna4]]*EA$5/$DN$5)*$DV$4</f>
        <v>#DIV/0!</v>
      </c>
      <c r="EB8" s="303" t="e">
        <f>(Tabla2926[[#This Row],[Columna4]]*EB$5/$DN$5)*$DV$4</f>
        <v>#DIV/0!</v>
      </c>
      <c r="EC8" s="303" t="e">
        <f>(Tabla2926[[#This Row],[Columna4]]*EC$5/$DN$5)*$DV$4</f>
        <v>#DIV/0!</v>
      </c>
      <c r="ED8" s="303" t="e">
        <f>(Tabla2926[[#This Row],[Columna4]]*ED$5/$DN$5)*$DV$4</f>
        <v>#DIV/0!</v>
      </c>
      <c r="EE8" s="303" t="e">
        <f>(Tabla2926[[#This Row],[Columna4]]*EE$5/$DN$5)*$DV$4</f>
        <v>#DIV/0!</v>
      </c>
      <c r="EF8" s="303" t="e">
        <f>(Tabla2926[[#This Row],[Columna4]]*EF$5/$DN$5)*$DV$4</f>
        <v>#DIV/0!</v>
      </c>
      <c r="EG8" s="303" t="e">
        <f>(Tabla2926[[#This Row],[Columna4]]*EG$5/$DN$5)*$DV$4</f>
        <v>#DIV/0!</v>
      </c>
      <c r="EH8" s="303" t="e">
        <f>(Tabla2926[[#This Row],[Columna4]]*EH$5/$DN$5)*$DV$4</f>
        <v>#DIV/0!</v>
      </c>
      <c r="EJ8" s="524" t="s">
        <v>294</v>
      </c>
      <c r="EK8" s="524" t="e">
        <f>SUM(EL8:EL12)</f>
        <v>#DIV/0!</v>
      </c>
      <c r="EL8" s="298" t="e">
        <f>$AS$6</f>
        <v>#DIV/0!</v>
      </c>
      <c r="EM8" s="242" t="str">
        <f>Tabla2[[#This Row],[Columna1]]</f>
        <v>C1</v>
      </c>
      <c r="EN8" s="303" t="e">
        <f>Tabla29268[[#This Row],[Columna3]]/7</f>
        <v>#DIV/0!</v>
      </c>
      <c r="EO8" s="303" t="e">
        <f>Tabla29268[[#This Row],[Columna4]]/4.2</f>
        <v>#DIV/0!</v>
      </c>
      <c r="EP8" s="303" t="e">
        <f>Tabla2926[[#This Row],[Columna16]]</f>
        <v>#DIV/0!</v>
      </c>
      <c r="EQ8" s="303" t="e">
        <f>(Tabla29268[[#This Row],[Columna4]]*EQ$5/$EH$5)*$EP$4</f>
        <v>#DIV/0!</v>
      </c>
      <c r="ER8" s="303" t="e">
        <f>(Tabla29268[[#This Row],[Columna4]]*ER$5/$EH$5)*$EP$4</f>
        <v>#DIV/0!</v>
      </c>
      <c r="ES8" s="303" t="e">
        <f>(Tabla29268[[#This Row],[Columna4]]*ES$5/$EH$5)*$EP$4</f>
        <v>#DIV/0!</v>
      </c>
      <c r="ET8" s="303" t="e">
        <f>(Tabla29268[[#This Row],[Columna4]]*ET$5/$EH$5)*$EP$4</f>
        <v>#DIV/0!</v>
      </c>
      <c r="EU8" s="303" t="e">
        <f>(Tabla29268[[#This Row],[Columna4]]*EU$5/$EH$5)*$EP$4</f>
        <v>#DIV/0!</v>
      </c>
      <c r="EV8" s="303" t="e">
        <f>(Tabla29268[[#This Row],[Columna4]]*EV$5/$EH$5)*$EP$4</f>
        <v>#DIV/0!</v>
      </c>
      <c r="EW8" s="303" t="e">
        <f>(Tabla29268[[#This Row],[Columna4]]*EW$5/$EH$5)*$EP$4</f>
        <v>#DIV/0!</v>
      </c>
      <c r="EX8" s="303" t="e">
        <f>(Tabla29268[[#This Row],[Columna4]]*EX$5/$EH$5)*$EP$4</f>
        <v>#DIV/0!</v>
      </c>
      <c r="EY8" s="303" t="e">
        <f>(Tabla29268[[#This Row],[Columna4]]*EY$5/$EH$5)*$EP$4</f>
        <v>#DIV/0!</v>
      </c>
      <c r="EZ8" s="303" t="e">
        <f>(Tabla29268[[#This Row],[Columna4]]*EZ$5/$EH$5)*$EP$4</f>
        <v>#DIV/0!</v>
      </c>
      <c r="FA8" s="303" t="e">
        <f>(Tabla29268[[#This Row],[Columna4]]*FA$5/$EH$5)*$EP$4</f>
        <v>#DIV/0!</v>
      </c>
      <c r="FB8" s="303" t="e">
        <f>(Tabla29268[[#This Row],[Columna4]]*FB$5/$EH$5)*$EP$4</f>
        <v>#DIV/0!</v>
      </c>
      <c r="FE8" s="307" t="s">
        <v>17</v>
      </c>
      <c r="FF8" s="308">
        <f>FF6-FF7</f>
        <v>0</v>
      </c>
      <c r="FG8" s="308">
        <f t="shared" ref="FG8:FQ8" si="33">FG6-FG7</f>
        <v>0</v>
      </c>
      <c r="FH8" s="308">
        <f t="shared" si="33"/>
        <v>0</v>
      </c>
      <c r="FI8" s="308">
        <f t="shared" si="33"/>
        <v>0</v>
      </c>
      <c r="FJ8" s="308">
        <f t="shared" si="33"/>
        <v>0</v>
      </c>
      <c r="FK8" s="308">
        <f t="shared" si="33"/>
        <v>0</v>
      </c>
      <c r="FL8" s="308">
        <f t="shared" si="33"/>
        <v>0</v>
      </c>
      <c r="FM8" s="308">
        <f t="shared" si="33"/>
        <v>0</v>
      </c>
      <c r="FN8" s="308">
        <f t="shared" si="33"/>
        <v>0</v>
      </c>
      <c r="FO8" s="308">
        <f t="shared" si="33"/>
        <v>0</v>
      </c>
      <c r="FP8" s="308">
        <f t="shared" si="33"/>
        <v>0</v>
      </c>
      <c r="FQ8" s="308">
        <f t="shared" si="33"/>
        <v>0</v>
      </c>
      <c r="FR8" s="309">
        <f t="shared" si="14"/>
        <v>0</v>
      </c>
      <c r="FS8" s="260" t="e">
        <f>FR8/$FR$6</f>
        <v>#DIV/0!</v>
      </c>
      <c r="FV8" s="307" t="s">
        <v>17</v>
      </c>
      <c r="FW8" s="308" t="e">
        <f>FW6-FW7</f>
        <v>#DIV/0!</v>
      </c>
      <c r="FX8" s="308" t="e">
        <f t="shared" ref="FX8:GH8" si="34">FX6-FX7</f>
        <v>#DIV/0!</v>
      </c>
      <c r="FY8" s="308" t="e">
        <f t="shared" si="34"/>
        <v>#DIV/0!</v>
      </c>
      <c r="FZ8" s="308" t="e">
        <f t="shared" si="34"/>
        <v>#DIV/0!</v>
      </c>
      <c r="GA8" s="308" t="e">
        <f t="shared" si="34"/>
        <v>#DIV/0!</v>
      </c>
      <c r="GB8" s="308" t="e">
        <f t="shared" si="34"/>
        <v>#DIV/0!</v>
      </c>
      <c r="GC8" s="308" t="e">
        <f t="shared" si="34"/>
        <v>#DIV/0!</v>
      </c>
      <c r="GD8" s="308" t="e">
        <f t="shared" si="34"/>
        <v>#DIV/0!</v>
      </c>
      <c r="GE8" s="308" t="e">
        <f t="shared" si="34"/>
        <v>#DIV/0!</v>
      </c>
      <c r="GF8" s="308" t="e">
        <f t="shared" si="34"/>
        <v>#DIV/0!</v>
      </c>
      <c r="GG8" s="308" t="e">
        <f t="shared" si="34"/>
        <v>#DIV/0!</v>
      </c>
      <c r="GH8" s="308" t="e">
        <f t="shared" si="34"/>
        <v>#DIV/0!</v>
      </c>
      <c r="GI8" s="309" t="e">
        <f t="shared" si="16"/>
        <v>#DIV/0!</v>
      </c>
      <c r="GJ8" s="262" t="e">
        <f t="shared" ref="GJ8:GJ10" si="35">GI8/$GI$6</f>
        <v>#DIV/0!</v>
      </c>
      <c r="GK8" s="262" t="e">
        <f>GI8/FR8-1</f>
        <v>#DIV/0!</v>
      </c>
      <c r="GL8" s="250">
        <f>GL7+1</f>
        <v>2</v>
      </c>
      <c r="GM8" s="250" t="s">
        <v>500</v>
      </c>
      <c r="GN8" s="327">
        <v>0</v>
      </c>
      <c r="GO8" s="327">
        <v>0</v>
      </c>
      <c r="GP8" s="327">
        <v>0</v>
      </c>
      <c r="GQ8" s="327">
        <v>0</v>
      </c>
      <c r="GR8" s="327">
        <v>0</v>
      </c>
      <c r="GS8" s="327">
        <v>0</v>
      </c>
      <c r="GT8" s="327">
        <v>0</v>
      </c>
      <c r="GU8" s="327">
        <v>0</v>
      </c>
      <c r="GV8" s="327">
        <v>0</v>
      </c>
      <c r="GW8" s="327">
        <v>0</v>
      </c>
      <c r="GX8" s="327">
        <v>0</v>
      </c>
      <c r="GY8" s="327">
        <v>0</v>
      </c>
      <c r="GZ8" s="328">
        <f>SUM(GN8:GY8)</f>
        <v>0</v>
      </c>
      <c r="HA8" s="329" t="e">
        <f t="shared" si="4"/>
        <v>#DIV/0!</v>
      </c>
      <c r="HD8" s="514"/>
      <c r="HE8" s="92" t="s">
        <v>711</v>
      </c>
      <c r="HF8" s="93"/>
      <c r="HG8" s="94"/>
      <c r="HH8" s="95">
        <f>HF8*HG8</f>
        <v>0</v>
      </c>
      <c r="HI8" s="51"/>
      <c r="HJ8" s="143"/>
      <c r="HM8" s="330" t="s">
        <v>557</v>
      </c>
      <c r="HN8" s="316">
        <f>HN13*15%</f>
        <v>0</v>
      </c>
      <c r="HO8" s="316"/>
      <c r="HP8" s="316">
        <f>HP13*15%</f>
        <v>0</v>
      </c>
      <c r="HQ8" s="316"/>
      <c r="HR8" s="316">
        <f>HR13*15%</f>
        <v>0</v>
      </c>
      <c r="HS8" s="316"/>
      <c r="HT8" s="316">
        <f>HT13*15%</f>
        <v>0</v>
      </c>
      <c r="HU8" s="316"/>
      <c r="HV8" s="316">
        <f>HV13*15%</f>
        <v>0</v>
      </c>
      <c r="HW8" s="316"/>
      <c r="HX8" s="316">
        <f>HX13*15%</f>
        <v>0</v>
      </c>
      <c r="HY8" s="316"/>
      <c r="HZ8" s="316">
        <f>HZ13*15%</f>
        <v>0</v>
      </c>
      <c r="IA8" s="316"/>
      <c r="IB8" s="316">
        <f>IB13*15%</f>
        <v>0</v>
      </c>
      <c r="IC8" s="316"/>
      <c r="ID8" s="316">
        <f>ID13*15%</f>
        <v>0</v>
      </c>
      <c r="IE8" s="316"/>
      <c r="IF8" s="316">
        <f>IF13*15%</f>
        <v>0</v>
      </c>
      <c r="IG8" s="316"/>
      <c r="IH8" s="316">
        <f>IH13*15%</f>
        <v>0</v>
      </c>
      <c r="II8" s="316"/>
      <c r="IJ8" s="316">
        <f>IJ13*15%</f>
        <v>0</v>
      </c>
      <c r="IK8" s="316"/>
      <c r="IL8" s="333">
        <f>HN8+HP8+HR8+HT8+HV8+HX8+HZ8+IB8+ID8+IF8+IH8+IJ8</f>
        <v>0</v>
      </c>
      <c r="IM8" s="285"/>
    </row>
    <row r="9" spans="2:247" ht="14.4" customHeight="1" x14ac:dyDescent="0.3">
      <c r="C9" s="44" t="s">
        <v>569</v>
      </c>
      <c r="D9" s="108">
        <f>D7+D8</f>
        <v>0</v>
      </c>
      <c r="H9" s="44" t="s">
        <v>681</v>
      </c>
      <c r="I9" s="28"/>
      <c r="J9" s="28"/>
      <c r="K9" s="28"/>
      <c r="L9" s="28"/>
      <c r="M9" s="28"/>
      <c r="W9" s="336" t="str">
        <f>IF(W8="Enero","Febrero",IF(W8="Febrero","Marzo",IF(W8="Marzo","Abril",IF(W8="Abril","Mayo",IF(W8="Mayo","Junio",IF(W8="Junio","Julio",IF(W8="Julio","Agosto",IF(W8="Agosto","Septiembre",IF(W8="Septiembre","Octubre",IF(W8="Octubre","Noviembre",IF(W8="Noviembre","Diciembre",IF(W8="Diciembre","Enero"))))))))))))</f>
        <v>Mayo</v>
      </c>
      <c r="X9" s="335" t="e">
        <f t="shared" ref="X9:X10" si="36">X35</f>
        <v>#DIV/0!</v>
      </c>
      <c r="Y9" s="336" t="s">
        <v>3</v>
      </c>
      <c r="Z9" s="337">
        <f>Z8</f>
        <v>0</v>
      </c>
      <c r="AA9" s="338">
        <f t="shared" si="18"/>
        <v>0</v>
      </c>
      <c r="AB9" s="339">
        <f>AB8</f>
        <v>0</v>
      </c>
      <c r="AC9" s="339">
        <f t="shared" ref="AC9:AC19" si="37">+AB9+AC8</f>
        <v>0</v>
      </c>
      <c r="AD9" s="340">
        <f t="shared" ref="AD9:AD19" si="38">IF(AE26&gt;100%,100%,AE26)</f>
        <v>1</v>
      </c>
      <c r="AE9" s="341">
        <f t="shared" ref="AE9:AE19" si="39">(AB9*AD9)*$W$6</f>
        <v>0</v>
      </c>
      <c r="AF9" s="342">
        <f>+AE9+AF8</f>
        <v>0</v>
      </c>
      <c r="AG9" s="343">
        <f t="shared" ref="AG9:AG19" si="40">AB26</f>
        <v>0</v>
      </c>
      <c r="AH9" s="344">
        <f t="shared" ref="AH9:AH19" si="41">AE9/30.42</f>
        <v>0</v>
      </c>
      <c r="AI9" s="338">
        <f t="shared" ref="AI9:AI19" si="42">AG9/30.42</f>
        <v>0</v>
      </c>
      <c r="AJ9" s="345" t="e">
        <f t="shared" ref="AJ9:AJ19" si="43">AK9*AD9</f>
        <v>#DIV/0!</v>
      </c>
      <c r="AK9" s="346" t="e">
        <f t="shared" ref="AK9:AK19" si="44">AI9*Z9/AA9</f>
        <v>#DIV/0!</v>
      </c>
      <c r="AM9" s="295">
        <f t="shared" si="5"/>
        <v>0</v>
      </c>
      <c r="AN9" s="295">
        <f t="shared" si="6"/>
        <v>0</v>
      </c>
      <c r="AO9" s="295">
        <f t="shared" si="7"/>
        <v>0</v>
      </c>
      <c r="AP9" s="295">
        <f t="shared" si="8"/>
        <v>0</v>
      </c>
      <c r="AQ9" s="296" t="s">
        <v>772</v>
      </c>
      <c r="AR9" s="297">
        <f t="shared" si="9"/>
        <v>0</v>
      </c>
      <c r="AS9" s="298" t="e">
        <f t="shared" si="2"/>
        <v>#DIV/0!</v>
      </c>
      <c r="AT9" s="524"/>
      <c r="AU9" s="524"/>
      <c r="AV9" s="299">
        <v>0</v>
      </c>
      <c r="AW9" s="300">
        <v>0</v>
      </c>
      <c r="AX9" s="301"/>
      <c r="AY9" s="302" t="str">
        <f t="shared" si="10"/>
        <v>Julio</v>
      </c>
      <c r="AZ9" s="303">
        <f>Tabla2[[#Totals],[Columna8]]</f>
        <v>0</v>
      </c>
      <c r="BA9" s="303" t="e">
        <f>Tabla29[[#Totals],[Columna8]]</f>
        <v>#DIV/0!</v>
      </c>
      <c r="BB9" s="303" t="e">
        <f>Tabla292[[#Totals],[Columna8]]</f>
        <v>#DIV/0!</v>
      </c>
      <c r="BC9" s="303" t="e">
        <f>Tabla2926[[#Totals],[Columna8]]</f>
        <v>#DIV/0!</v>
      </c>
      <c r="BD9" s="303" t="e">
        <f>Tabla29268[[#Totals],[Columna8]]</f>
        <v>#DIV/0!</v>
      </c>
      <c r="BE9" s="304" t="e">
        <f t="shared" si="11"/>
        <v>#DIV/0!</v>
      </c>
      <c r="BF9" s="305" t="e">
        <f t="shared" si="12"/>
        <v>#DIV/0!</v>
      </c>
      <c r="BH9" s="524"/>
      <c r="BI9" s="524"/>
      <c r="BJ9" s="298" t="e">
        <f>$AS$7</f>
        <v>#DIV/0!</v>
      </c>
      <c r="BK9" s="242" t="str">
        <f t="shared" si="19"/>
        <v>C2</v>
      </c>
      <c r="BL9" s="303">
        <f t="shared" si="20"/>
        <v>0</v>
      </c>
      <c r="BM9" s="303">
        <f t="shared" si="20"/>
        <v>0</v>
      </c>
      <c r="BN9" s="303">
        <f t="shared" si="20"/>
        <v>0</v>
      </c>
      <c r="BO9" s="303">
        <f t="shared" si="21"/>
        <v>0</v>
      </c>
      <c r="BP9" s="303">
        <f t="shared" si="22"/>
        <v>0</v>
      </c>
      <c r="BQ9" s="303">
        <f t="shared" si="23"/>
        <v>0</v>
      </c>
      <c r="BR9" s="303">
        <f t="shared" si="24"/>
        <v>0</v>
      </c>
      <c r="BS9" s="303">
        <f t="shared" si="25"/>
        <v>0</v>
      </c>
      <c r="BT9" s="303">
        <f t="shared" si="26"/>
        <v>0</v>
      </c>
      <c r="BU9" s="303">
        <f t="shared" si="27"/>
        <v>0</v>
      </c>
      <c r="BV9" s="303">
        <f t="shared" si="28"/>
        <v>0</v>
      </c>
      <c r="BW9" s="303">
        <f t="shared" si="29"/>
        <v>0</v>
      </c>
      <c r="BX9" s="303">
        <f t="shared" si="30"/>
        <v>0</v>
      </c>
      <c r="BY9" s="303">
        <f t="shared" si="31"/>
        <v>0</v>
      </c>
      <c r="BZ9" s="303">
        <f t="shared" si="32"/>
        <v>0</v>
      </c>
      <c r="CB9" s="524"/>
      <c r="CC9" s="524"/>
      <c r="CD9" s="298" t="e">
        <f>$AS$7</f>
        <v>#DIV/0!</v>
      </c>
      <c r="CE9" s="242" t="str">
        <f>Tabla2[[#This Row],[Columna1]]</f>
        <v>C2</v>
      </c>
      <c r="CF9" s="303">
        <f>Tabla29[[#This Row],[Columna3]]/7</f>
        <v>0</v>
      </c>
      <c r="CG9" s="303">
        <f>Tabla29[[#This Row],[Columna4]]/4.2</f>
        <v>0</v>
      </c>
      <c r="CH9" s="303">
        <f>Tabla2[[#This Row],[Columna16]]</f>
        <v>0</v>
      </c>
      <c r="CI9" s="303" t="e">
        <f>(Tabla29[[#This Row],[Columna4]]*CI$5/$BZ$5)*$CH$4</f>
        <v>#DIV/0!</v>
      </c>
      <c r="CJ9" s="303" t="e">
        <f>(Tabla29[[#This Row],[Columna4]]*CJ$5/$BZ$5)*$CH$4</f>
        <v>#DIV/0!</v>
      </c>
      <c r="CK9" s="303" t="e">
        <f>(Tabla29[[#This Row],[Columna4]]*CK$5/$BZ$5)*$CH$4</f>
        <v>#DIV/0!</v>
      </c>
      <c r="CL9" s="303" t="e">
        <f>(Tabla29[[#This Row],[Columna4]]*CL$5/$BZ$5)*$CH$4</f>
        <v>#DIV/0!</v>
      </c>
      <c r="CM9" s="303" t="e">
        <f>(Tabla29[[#This Row],[Columna4]]*CM$5/$BZ$5)*$CH$4</f>
        <v>#DIV/0!</v>
      </c>
      <c r="CN9" s="303" t="e">
        <f>(Tabla29[[#This Row],[Columna4]]*CN$5/$BZ$5)*$CH$4</f>
        <v>#DIV/0!</v>
      </c>
      <c r="CO9" s="303" t="e">
        <f>(Tabla29[[#This Row],[Columna4]]*CO$5/$BZ$5)*$CH$4</f>
        <v>#DIV/0!</v>
      </c>
      <c r="CP9" s="303" t="e">
        <f>(Tabla29[[#This Row],[Columna4]]*CP$5/$BZ$5)*$CH$4</f>
        <v>#DIV/0!</v>
      </c>
      <c r="CQ9" s="303" t="e">
        <f>(Tabla29[[#This Row],[Columna4]]*CQ$5/$BZ$5)*$CH$4</f>
        <v>#DIV/0!</v>
      </c>
      <c r="CR9" s="303" t="e">
        <f>(Tabla29[[#This Row],[Columna4]]*CR$5/$BZ$5)*$CH$4</f>
        <v>#DIV/0!</v>
      </c>
      <c r="CS9" s="303" t="e">
        <f>(Tabla29[[#This Row],[Columna4]]*CS$5/$BZ$5)*$CH$4</f>
        <v>#DIV/0!</v>
      </c>
      <c r="CT9" s="303" t="e">
        <f>(Tabla29[[#This Row],[Columna4]]*CT$5/$BZ$5)*$CH$4</f>
        <v>#DIV/0!</v>
      </c>
      <c r="CV9" s="524"/>
      <c r="CW9" s="524"/>
      <c r="CX9" s="298" t="e">
        <f>$AS$7</f>
        <v>#DIV/0!</v>
      </c>
      <c r="CY9" s="242" t="str">
        <f>Tabla2[[#This Row],[Columna1]]</f>
        <v>C2</v>
      </c>
      <c r="CZ9" s="303" t="e">
        <f>Tabla292[[#This Row],[Columna3]]/7</f>
        <v>#DIV/0!</v>
      </c>
      <c r="DA9" s="303" t="e">
        <f>Tabla292[[#This Row],[Columna4]]/4.2</f>
        <v>#DIV/0!</v>
      </c>
      <c r="DB9" s="303" t="e">
        <f>Tabla29[[#This Row],[Columna16]]</f>
        <v>#DIV/0!</v>
      </c>
      <c r="DC9" s="303" t="e">
        <f>(Tabla292[[#This Row],[Columna4]]*DC$5/$CT$5)*$DB$4</f>
        <v>#DIV/0!</v>
      </c>
      <c r="DD9" s="303" t="e">
        <f>(Tabla292[[#This Row],[Columna4]]*DD$5/$CT$5)*$DB$4</f>
        <v>#DIV/0!</v>
      </c>
      <c r="DE9" s="303" t="e">
        <f>(Tabla292[[#This Row],[Columna4]]*DE$5/$CT$5)*$DB$4</f>
        <v>#DIV/0!</v>
      </c>
      <c r="DF9" s="303" t="e">
        <f>(Tabla292[[#This Row],[Columna4]]*DF$5/$CT$5)*$DB$4</f>
        <v>#DIV/0!</v>
      </c>
      <c r="DG9" s="303" t="e">
        <f>(Tabla292[[#This Row],[Columna4]]*DG$5/$CT$5)*$DB$4</f>
        <v>#DIV/0!</v>
      </c>
      <c r="DH9" s="303" t="e">
        <f>(Tabla292[[#This Row],[Columna4]]*DH$5/$CT$5)*$DB$4</f>
        <v>#DIV/0!</v>
      </c>
      <c r="DI9" s="303" t="e">
        <f>(Tabla292[[#This Row],[Columna4]]*DI$5/$CT$5)*$DB$4</f>
        <v>#DIV/0!</v>
      </c>
      <c r="DJ9" s="303" t="e">
        <f>(Tabla292[[#This Row],[Columna4]]*DJ$5/$CT$5)*$DB$4</f>
        <v>#DIV/0!</v>
      </c>
      <c r="DK9" s="303" t="e">
        <f>(Tabla292[[#This Row],[Columna4]]*DK$5/$CT$5)*$DB$4</f>
        <v>#DIV/0!</v>
      </c>
      <c r="DL9" s="303" t="e">
        <f>(Tabla292[[#This Row],[Columna4]]*DL$5/$CT$5)*$DB$4</f>
        <v>#DIV/0!</v>
      </c>
      <c r="DM9" s="303" t="e">
        <f>(Tabla292[[#This Row],[Columna4]]*DM$5/$CT$5)*$DB$4</f>
        <v>#DIV/0!</v>
      </c>
      <c r="DN9" s="303" t="e">
        <f>(Tabla292[[#This Row],[Columna4]]*DN$5/$CT$5)*$DB$4</f>
        <v>#DIV/0!</v>
      </c>
      <c r="DP9" s="524"/>
      <c r="DQ9" s="524"/>
      <c r="DR9" s="298" t="e">
        <f>$AS$7</f>
        <v>#DIV/0!</v>
      </c>
      <c r="DS9" s="242" t="str">
        <f>Tabla2[[#This Row],[Columna1]]</f>
        <v>C2</v>
      </c>
      <c r="DT9" s="303" t="e">
        <f>Tabla2926[[#This Row],[Columna3]]/7</f>
        <v>#DIV/0!</v>
      </c>
      <c r="DU9" s="303" t="e">
        <f>Tabla2926[[#This Row],[Columna4]]/4.2</f>
        <v>#DIV/0!</v>
      </c>
      <c r="DV9" s="303" t="e">
        <f>Tabla292[[#This Row],[Columna16]]</f>
        <v>#DIV/0!</v>
      </c>
      <c r="DW9" s="303" t="e">
        <f>(Tabla2926[[#This Row],[Columna4]]*DW$5/$DN$5)*$DV$4</f>
        <v>#DIV/0!</v>
      </c>
      <c r="DX9" s="303" t="e">
        <f>(Tabla2926[[#This Row],[Columna4]]*DX$5/$DN$5)*$DV$4</f>
        <v>#DIV/0!</v>
      </c>
      <c r="DY9" s="303" t="e">
        <f>(Tabla2926[[#This Row],[Columna4]]*DY$5/$DN$5)*$DV$4</f>
        <v>#DIV/0!</v>
      </c>
      <c r="DZ9" s="303" t="e">
        <f>(Tabla2926[[#This Row],[Columna4]]*DZ$5/$DN$5)*$DV$4</f>
        <v>#DIV/0!</v>
      </c>
      <c r="EA9" s="303" t="e">
        <f>(Tabla2926[[#This Row],[Columna4]]*EA$5/$DN$5)*$DV$4</f>
        <v>#DIV/0!</v>
      </c>
      <c r="EB9" s="303" t="e">
        <f>(Tabla2926[[#This Row],[Columna4]]*EB$5/$DN$5)*$DV$4</f>
        <v>#DIV/0!</v>
      </c>
      <c r="EC9" s="303" t="e">
        <f>(Tabla2926[[#This Row],[Columna4]]*EC$5/$DN$5)*$DV$4</f>
        <v>#DIV/0!</v>
      </c>
      <c r="ED9" s="303" t="e">
        <f>(Tabla2926[[#This Row],[Columna4]]*ED$5/$DN$5)*$DV$4</f>
        <v>#DIV/0!</v>
      </c>
      <c r="EE9" s="303" t="e">
        <f>(Tabla2926[[#This Row],[Columna4]]*EE$5/$DN$5)*$DV$4</f>
        <v>#DIV/0!</v>
      </c>
      <c r="EF9" s="303" t="e">
        <f>(Tabla2926[[#This Row],[Columna4]]*EF$5/$DN$5)*$DV$4</f>
        <v>#DIV/0!</v>
      </c>
      <c r="EG9" s="303" t="e">
        <f>(Tabla2926[[#This Row],[Columna4]]*EG$5/$DN$5)*$DV$4</f>
        <v>#DIV/0!</v>
      </c>
      <c r="EH9" s="303" t="e">
        <f>(Tabla2926[[#This Row],[Columna4]]*EH$5/$DN$5)*$DV$4</f>
        <v>#DIV/0!</v>
      </c>
      <c r="EJ9" s="524"/>
      <c r="EK9" s="524"/>
      <c r="EL9" s="298" t="e">
        <f>$AS$7</f>
        <v>#DIV/0!</v>
      </c>
      <c r="EM9" s="242" t="str">
        <f>Tabla2[[#This Row],[Columna1]]</f>
        <v>C2</v>
      </c>
      <c r="EN9" s="303" t="e">
        <f>Tabla29268[[#This Row],[Columna3]]/7</f>
        <v>#DIV/0!</v>
      </c>
      <c r="EO9" s="303" t="e">
        <f>Tabla29268[[#This Row],[Columna4]]/4.2</f>
        <v>#DIV/0!</v>
      </c>
      <c r="EP9" s="303" t="e">
        <f>Tabla2926[[#This Row],[Columna16]]</f>
        <v>#DIV/0!</v>
      </c>
      <c r="EQ9" s="303" t="e">
        <f>(Tabla29268[[#This Row],[Columna4]]*EQ$5/$EH$5)*$EP$4</f>
        <v>#DIV/0!</v>
      </c>
      <c r="ER9" s="303" t="e">
        <f>(Tabla29268[[#This Row],[Columna4]]*ER$5/$EH$5)*$EP$4</f>
        <v>#DIV/0!</v>
      </c>
      <c r="ES9" s="303" t="e">
        <f>(Tabla29268[[#This Row],[Columna4]]*ES$5/$EH$5)*$EP$4</f>
        <v>#DIV/0!</v>
      </c>
      <c r="ET9" s="303" t="e">
        <f>(Tabla29268[[#This Row],[Columna4]]*ET$5/$EH$5)*$EP$4</f>
        <v>#DIV/0!</v>
      </c>
      <c r="EU9" s="303" t="e">
        <f>(Tabla29268[[#This Row],[Columna4]]*EU$5/$EH$5)*$EP$4</f>
        <v>#DIV/0!</v>
      </c>
      <c r="EV9" s="303" t="e">
        <f>(Tabla29268[[#This Row],[Columna4]]*EV$5/$EH$5)*$EP$4</f>
        <v>#DIV/0!</v>
      </c>
      <c r="EW9" s="303" t="e">
        <f>(Tabla29268[[#This Row],[Columna4]]*EW$5/$EH$5)*$EP$4</f>
        <v>#DIV/0!</v>
      </c>
      <c r="EX9" s="303" t="e">
        <f>(Tabla29268[[#This Row],[Columna4]]*EX$5/$EH$5)*$EP$4</f>
        <v>#DIV/0!</v>
      </c>
      <c r="EY9" s="303" t="e">
        <f>(Tabla29268[[#This Row],[Columna4]]*EY$5/$EH$5)*$EP$4</f>
        <v>#DIV/0!</v>
      </c>
      <c r="EZ9" s="303" t="e">
        <f>(Tabla29268[[#This Row],[Columna4]]*EZ$5/$EH$5)*$EP$4</f>
        <v>#DIV/0!</v>
      </c>
      <c r="FA9" s="303" t="e">
        <f>(Tabla29268[[#This Row],[Columna4]]*FA$5/$EH$5)*$EP$4</f>
        <v>#DIV/0!</v>
      </c>
      <c r="FB9" s="303" t="e">
        <f>(Tabla29268[[#This Row],[Columna4]]*FB$5/$EH$5)*$EP$4</f>
        <v>#DIV/0!</v>
      </c>
      <c r="FE9" s="324" t="s">
        <v>18</v>
      </c>
      <c r="FF9" s="325">
        <f t="shared" ref="FF9:FQ9" si="45">FF6*FF380</f>
        <v>0</v>
      </c>
      <c r="FG9" s="325">
        <f t="shared" si="45"/>
        <v>0</v>
      </c>
      <c r="FH9" s="325">
        <f t="shared" si="45"/>
        <v>0</v>
      </c>
      <c r="FI9" s="325">
        <f t="shared" si="45"/>
        <v>0</v>
      </c>
      <c r="FJ9" s="325">
        <f t="shared" si="45"/>
        <v>0</v>
      </c>
      <c r="FK9" s="325">
        <f t="shared" si="45"/>
        <v>0</v>
      </c>
      <c r="FL9" s="325">
        <f t="shared" si="45"/>
        <v>0</v>
      </c>
      <c r="FM9" s="325">
        <f t="shared" si="45"/>
        <v>0</v>
      </c>
      <c r="FN9" s="325">
        <f t="shared" si="45"/>
        <v>0</v>
      </c>
      <c r="FO9" s="325">
        <f t="shared" si="45"/>
        <v>0</v>
      </c>
      <c r="FP9" s="325">
        <f t="shared" si="45"/>
        <v>0</v>
      </c>
      <c r="FQ9" s="325">
        <f t="shared" si="45"/>
        <v>0</v>
      </c>
      <c r="FR9" s="309">
        <f t="shared" si="14"/>
        <v>0</v>
      </c>
      <c r="FS9" s="260" t="e">
        <f>FR9/$FR$6</f>
        <v>#DIV/0!</v>
      </c>
      <c r="FV9" s="324" t="s">
        <v>18</v>
      </c>
      <c r="FW9" s="325" t="e">
        <f>FF380*FW6</f>
        <v>#DIV/0!</v>
      </c>
      <c r="FX9" s="325" t="e">
        <f t="shared" ref="FX9:GH9" si="46">FG380*FX6</f>
        <v>#DIV/0!</v>
      </c>
      <c r="FY9" s="325" t="e">
        <f t="shared" si="46"/>
        <v>#DIV/0!</v>
      </c>
      <c r="FZ9" s="325" t="e">
        <f t="shared" si="46"/>
        <v>#DIV/0!</v>
      </c>
      <c r="GA9" s="325" t="e">
        <f t="shared" si="46"/>
        <v>#DIV/0!</v>
      </c>
      <c r="GB9" s="325" t="e">
        <f t="shared" si="46"/>
        <v>#DIV/0!</v>
      </c>
      <c r="GC9" s="325" t="e">
        <f t="shared" si="46"/>
        <v>#DIV/0!</v>
      </c>
      <c r="GD9" s="325" t="e">
        <f t="shared" si="46"/>
        <v>#DIV/0!</v>
      </c>
      <c r="GE9" s="325" t="e">
        <f t="shared" si="46"/>
        <v>#DIV/0!</v>
      </c>
      <c r="GF9" s="325" t="e">
        <f t="shared" si="46"/>
        <v>#DIV/0!</v>
      </c>
      <c r="GG9" s="325" t="e">
        <f t="shared" si="46"/>
        <v>#DIV/0!</v>
      </c>
      <c r="GH9" s="325" t="e">
        <f t="shared" si="46"/>
        <v>#DIV/0!</v>
      </c>
      <c r="GI9" s="309" t="e">
        <f t="shared" si="16"/>
        <v>#DIV/0!</v>
      </c>
      <c r="GJ9" s="262" t="e">
        <f t="shared" si="35"/>
        <v>#DIV/0!</v>
      </c>
      <c r="GL9" s="250">
        <f>GL8+1</f>
        <v>3</v>
      </c>
      <c r="GM9" s="250" t="s">
        <v>501</v>
      </c>
      <c r="GN9" s="327">
        <v>0</v>
      </c>
      <c r="GO9" s="327">
        <v>0</v>
      </c>
      <c r="GP9" s="327">
        <v>0</v>
      </c>
      <c r="GQ9" s="327">
        <v>0</v>
      </c>
      <c r="GR9" s="327">
        <v>0</v>
      </c>
      <c r="GS9" s="327">
        <v>0</v>
      </c>
      <c r="GT9" s="327">
        <v>0</v>
      </c>
      <c r="GU9" s="327">
        <v>0</v>
      </c>
      <c r="GV9" s="327">
        <v>0</v>
      </c>
      <c r="GW9" s="327">
        <v>0</v>
      </c>
      <c r="GX9" s="327">
        <v>0</v>
      </c>
      <c r="GY9" s="327">
        <v>0</v>
      </c>
      <c r="GZ9" s="328">
        <f>SUM(GN9:GY9)</f>
        <v>0</v>
      </c>
      <c r="HA9" s="329" t="e">
        <f t="shared" si="4"/>
        <v>#DIV/0!</v>
      </c>
      <c r="HD9" s="57" t="s">
        <v>14</v>
      </c>
      <c r="HE9" s="58"/>
      <c r="HF9" s="96">
        <f>SUM(HF6:HF8)</f>
        <v>0</v>
      </c>
      <c r="HG9" s="97">
        <f>SUM(HG6:HG8)</f>
        <v>700</v>
      </c>
      <c r="HH9" s="98">
        <f>SUM(HH6:HH8)</f>
        <v>0</v>
      </c>
      <c r="HI9" s="156">
        <f>(HI6*HF6)+(HI7*HF7)</f>
        <v>0</v>
      </c>
      <c r="HJ9" s="138"/>
      <c r="HK9" s="347">
        <v>36</v>
      </c>
      <c r="HM9" s="330" t="s">
        <v>584</v>
      </c>
      <c r="HN9" s="316">
        <f>(HN13/(100%-HO11))</f>
        <v>0</v>
      </c>
      <c r="HO9" s="332">
        <v>1</v>
      </c>
      <c r="HP9" s="316">
        <f>(HP13/(100%-HQ11))</f>
        <v>0</v>
      </c>
      <c r="HQ9" s="332">
        <v>1</v>
      </c>
      <c r="HR9" s="316">
        <f>(HR13/(100%-HS11))</f>
        <v>0</v>
      </c>
      <c r="HS9" s="332">
        <v>1</v>
      </c>
      <c r="HT9" s="316">
        <f>(HT13/(100%-HU11))</f>
        <v>0</v>
      </c>
      <c r="HU9" s="332">
        <v>1</v>
      </c>
      <c r="HV9" s="316">
        <f>(HV13/(100%-HW11))</f>
        <v>0</v>
      </c>
      <c r="HW9" s="332">
        <v>1</v>
      </c>
      <c r="HX9" s="316">
        <f>(HX13/(100%-HY11))</f>
        <v>0</v>
      </c>
      <c r="HY9" s="332">
        <v>1</v>
      </c>
      <c r="HZ9" s="316">
        <f>(HZ13/(100%-IA11))</f>
        <v>0</v>
      </c>
      <c r="IA9" s="332">
        <v>1</v>
      </c>
      <c r="IB9" s="316">
        <f>(IB13/(100%-IC11))</f>
        <v>0</v>
      </c>
      <c r="IC9" s="332">
        <v>1</v>
      </c>
      <c r="ID9" s="316">
        <f>(ID13/(100%-IE11))</f>
        <v>0</v>
      </c>
      <c r="IE9" s="332">
        <v>1</v>
      </c>
      <c r="IF9" s="316">
        <f>(IF13/(100%-IG11))</f>
        <v>0</v>
      </c>
      <c r="IG9" s="332">
        <v>1</v>
      </c>
      <c r="IH9" s="316">
        <f>(IH13/(100%-II11))</f>
        <v>0</v>
      </c>
      <c r="II9" s="332">
        <v>1</v>
      </c>
      <c r="IJ9" s="316">
        <f>(IJ13/(100%-IK11))</f>
        <v>0</v>
      </c>
      <c r="IK9" s="332">
        <v>1</v>
      </c>
      <c r="IL9" s="333">
        <f>HN9+HP9+HR9+HT9+HV9+HX9+HZ9+IB9+ID9+IF9+IH9+IJ9</f>
        <v>0</v>
      </c>
      <c r="IM9" s="332">
        <v>1</v>
      </c>
    </row>
    <row r="10" spans="2:247" ht="14.4" customHeight="1" x14ac:dyDescent="0.3">
      <c r="C10" s="44" t="s">
        <v>609</v>
      </c>
      <c r="D10" s="108">
        <f>Inversionista!J113</f>
        <v>0</v>
      </c>
      <c r="H10" s="22"/>
      <c r="I10" s="28"/>
      <c r="J10" s="22"/>
      <c r="W10" s="336" t="str">
        <f>IF(W9="Enero","Febrero",IF(W9="Febrero","Marzo",IF(W9="Marzo","Abril",IF(W9="Abril","Mayo",IF(W9="Mayo","Junio",IF(W9="Junio","Julio",IF(W9="Julio","Agosto",IF(W9="Agosto","Septiembre",IF(W9="Septiembre","Octubre",IF(W9="Octubre","Noviembre",IF(W9="Noviembre","Diciembre",IF(W9="Diciembre","Enero"))))))))))))</f>
        <v>Junio</v>
      </c>
      <c r="X10" s="335" t="e">
        <f t="shared" si="36"/>
        <v>#DIV/0!</v>
      </c>
      <c r="Y10" s="336" t="s">
        <v>4</v>
      </c>
      <c r="Z10" s="337">
        <f t="shared" ref="Z10:Z19" si="47">Z9</f>
        <v>0</v>
      </c>
      <c r="AA10" s="338">
        <f t="shared" si="18"/>
        <v>0</v>
      </c>
      <c r="AB10" s="339">
        <f t="shared" ref="AB10:AB19" si="48">AB9</f>
        <v>0</v>
      </c>
      <c r="AC10" s="339">
        <f t="shared" si="37"/>
        <v>0</v>
      </c>
      <c r="AD10" s="340">
        <f t="shared" si="38"/>
        <v>1</v>
      </c>
      <c r="AE10" s="341">
        <f t="shared" si="39"/>
        <v>0</v>
      </c>
      <c r="AF10" s="342">
        <f t="shared" ref="AF10:AF19" si="49">+AE10+AF9</f>
        <v>0</v>
      </c>
      <c r="AG10" s="343">
        <f t="shared" si="40"/>
        <v>0</v>
      </c>
      <c r="AH10" s="344">
        <f t="shared" si="41"/>
        <v>0</v>
      </c>
      <c r="AI10" s="338">
        <f t="shared" si="42"/>
        <v>0</v>
      </c>
      <c r="AJ10" s="345" t="e">
        <f t="shared" si="43"/>
        <v>#DIV/0!</v>
      </c>
      <c r="AK10" s="346" t="e">
        <f t="shared" si="44"/>
        <v>#DIV/0!</v>
      </c>
      <c r="AM10" s="295">
        <f t="shared" si="5"/>
        <v>0</v>
      </c>
      <c r="AN10" s="295">
        <f t="shared" si="6"/>
        <v>0</v>
      </c>
      <c r="AO10" s="295">
        <f t="shared" si="7"/>
        <v>0</v>
      </c>
      <c r="AP10" s="295">
        <f t="shared" si="8"/>
        <v>0</v>
      </c>
      <c r="AQ10" s="296" t="s">
        <v>773</v>
      </c>
      <c r="AR10" s="297">
        <f t="shared" si="9"/>
        <v>0</v>
      </c>
      <c r="AS10" s="298" t="e">
        <f t="shared" si="2"/>
        <v>#DIV/0!</v>
      </c>
      <c r="AT10" s="524"/>
      <c r="AU10" s="524"/>
      <c r="AV10" s="299">
        <v>0</v>
      </c>
      <c r="AW10" s="300">
        <v>0</v>
      </c>
      <c r="AX10" s="301"/>
      <c r="AY10" s="302" t="str">
        <f t="shared" si="10"/>
        <v>Agosto</v>
      </c>
      <c r="AZ10" s="303">
        <f>Tabla2[[#Totals],[Columna9]]</f>
        <v>0</v>
      </c>
      <c r="BA10" s="303" t="e">
        <f>Tabla29[[#Totals],[Columna9]]</f>
        <v>#DIV/0!</v>
      </c>
      <c r="BB10" s="303" t="e">
        <f>Tabla292[[#Totals],[Columna9]]</f>
        <v>#DIV/0!</v>
      </c>
      <c r="BC10" s="303" t="e">
        <f>Tabla2926[[#Totals],[Columna9]]</f>
        <v>#DIV/0!</v>
      </c>
      <c r="BD10" s="303" t="e">
        <f>Tabla29268[[#Totals],[Columna9]]</f>
        <v>#DIV/0!</v>
      </c>
      <c r="BE10" s="304" t="e">
        <f t="shared" si="11"/>
        <v>#DIV/0!</v>
      </c>
      <c r="BF10" s="305" t="e">
        <f t="shared" si="12"/>
        <v>#DIV/0!</v>
      </c>
      <c r="BH10" s="524"/>
      <c r="BI10" s="524"/>
      <c r="BJ10" s="298" t="e">
        <f>$AS$8</f>
        <v>#DIV/0!</v>
      </c>
      <c r="BK10" s="242" t="str">
        <f t="shared" si="19"/>
        <v>C3</v>
      </c>
      <c r="BL10" s="303">
        <f t="shared" si="20"/>
        <v>0</v>
      </c>
      <c r="BM10" s="303">
        <f t="shared" si="20"/>
        <v>0</v>
      </c>
      <c r="BN10" s="303">
        <f t="shared" si="20"/>
        <v>0</v>
      </c>
      <c r="BO10" s="303">
        <f t="shared" si="21"/>
        <v>0</v>
      </c>
      <c r="BP10" s="303">
        <f t="shared" si="22"/>
        <v>0</v>
      </c>
      <c r="BQ10" s="303">
        <f t="shared" si="23"/>
        <v>0</v>
      </c>
      <c r="BR10" s="303">
        <f t="shared" si="24"/>
        <v>0</v>
      </c>
      <c r="BS10" s="303">
        <f t="shared" si="25"/>
        <v>0</v>
      </c>
      <c r="BT10" s="303">
        <f t="shared" si="26"/>
        <v>0</v>
      </c>
      <c r="BU10" s="303">
        <f t="shared" si="27"/>
        <v>0</v>
      </c>
      <c r="BV10" s="303">
        <f t="shared" si="28"/>
        <v>0</v>
      </c>
      <c r="BW10" s="303">
        <f t="shared" si="29"/>
        <v>0</v>
      </c>
      <c r="BX10" s="303">
        <f t="shared" si="30"/>
        <v>0</v>
      </c>
      <c r="BY10" s="303">
        <f t="shared" si="31"/>
        <v>0</v>
      </c>
      <c r="BZ10" s="303">
        <f t="shared" si="32"/>
        <v>0</v>
      </c>
      <c r="CB10" s="524"/>
      <c r="CC10" s="524"/>
      <c r="CD10" s="298" t="e">
        <f>$AS$8</f>
        <v>#DIV/0!</v>
      </c>
      <c r="CE10" s="242" t="str">
        <f>Tabla2[[#This Row],[Columna1]]</f>
        <v>C3</v>
      </c>
      <c r="CF10" s="303">
        <f>Tabla29[[#This Row],[Columna3]]/7</f>
        <v>0</v>
      </c>
      <c r="CG10" s="303">
        <f>Tabla29[[#This Row],[Columna4]]/4.2</f>
        <v>0</v>
      </c>
      <c r="CH10" s="303">
        <f>Tabla2[[#This Row],[Columna16]]</f>
        <v>0</v>
      </c>
      <c r="CI10" s="303" t="e">
        <f>(Tabla29[[#This Row],[Columna4]]*CI$5/$BZ$5)*$CH$4</f>
        <v>#DIV/0!</v>
      </c>
      <c r="CJ10" s="303" t="e">
        <f>(Tabla29[[#This Row],[Columna4]]*CJ$5/$BZ$5)*$CH$4</f>
        <v>#DIV/0!</v>
      </c>
      <c r="CK10" s="303" t="e">
        <f>(Tabla29[[#This Row],[Columna4]]*CK$5/$BZ$5)*$CH$4</f>
        <v>#DIV/0!</v>
      </c>
      <c r="CL10" s="303" t="e">
        <f>(Tabla29[[#This Row],[Columna4]]*CL$5/$BZ$5)*$CH$4</f>
        <v>#DIV/0!</v>
      </c>
      <c r="CM10" s="303" t="e">
        <f>(Tabla29[[#This Row],[Columna4]]*CM$5/$BZ$5)*$CH$4</f>
        <v>#DIV/0!</v>
      </c>
      <c r="CN10" s="303" t="e">
        <f>(Tabla29[[#This Row],[Columna4]]*CN$5/$BZ$5)*$CH$4</f>
        <v>#DIV/0!</v>
      </c>
      <c r="CO10" s="303" t="e">
        <f>(Tabla29[[#This Row],[Columna4]]*CO$5/$BZ$5)*$CH$4</f>
        <v>#DIV/0!</v>
      </c>
      <c r="CP10" s="303" t="e">
        <f>(Tabla29[[#This Row],[Columna4]]*CP$5/$BZ$5)*$CH$4</f>
        <v>#DIV/0!</v>
      </c>
      <c r="CQ10" s="303" t="e">
        <f>(Tabla29[[#This Row],[Columna4]]*CQ$5/$BZ$5)*$CH$4</f>
        <v>#DIV/0!</v>
      </c>
      <c r="CR10" s="303" t="e">
        <f>(Tabla29[[#This Row],[Columna4]]*CR$5/$BZ$5)*$CH$4</f>
        <v>#DIV/0!</v>
      </c>
      <c r="CS10" s="303" t="e">
        <f>(Tabla29[[#This Row],[Columna4]]*CS$5/$BZ$5)*$CH$4</f>
        <v>#DIV/0!</v>
      </c>
      <c r="CT10" s="303" t="e">
        <f>(Tabla29[[#This Row],[Columna4]]*CT$5/$BZ$5)*$CH$4</f>
        <v>#DIV/0!</v>
      </c>
      <c r="CV10" s="524"/>
      <c r="CW10" s="524"/>
      <c r="CX10" s="298" t="e">
        <f>$AS$8</f>
        <v>#DIV/0!</v>
      </c>
      <c r="CY10" s="242" t="str">
        <f>Tabla2[[#This Row],[Columna1]]</f>
        <v>C3</v>
      </c>
      <c r="CZ10" s="303" t="e">
        <f>Tabla292[[#This Row],[Columna3]]/7</f>
        <v>#DIV/0!</v>
      </c>
      <c r="DA10" s="303" t="e">
        <f>Tabla292[[#This Row],[Columna4]]/4.2</f>
        <v>#DIV/0!</v>
      </c>
      <c r="DB10" s="303" t="e">
        <f>Tabla29[[#This Row],[Columna16]]</f>
        <v>#DIV/0!</v>
      </c>
      <c r="DC10" s="303" t="e">
        <f>(Tabla292[[#This Row],[Columna4]]*DC$5/$CT$5)*$DB$4</f>
        <v>#DIV/0!</v>
      </c>
      <c r="DD10" s="303" t="e">
        <f>(Tabla292[[#This Row],[Columna4]]*DD$5/$CT$5)*$DB$4</f>
        <v>#DIV/0!</v>
      </c>
      <c r="DE10" s="303" t="e">
        <f>(Tabla292[[#This Row],[Columna4]]*DE$5/$CT$5)*$DB$4</f>
        <v>#DIV/0!</v>
      </c>
      <c r="DF10" s="303" t="e">
        <f>(Tabla292[[#This Row],[Columna4]]*DF$5/$CT$5)*$DB$4</f>
        <v>#DIV/0!</v>
      </c>
      <c r="DG10" s="303" t="e">
        <f>(Tabla292[[#This Row],[Columna4]]*DG$5/$CT$5)*$DB$4</f>
        <v>#DIV/0!</v>
      </c>
      <c r="DH10" s="303" t="e">
        <f>(Tabla292[[#This Row],[Columna4]]*DH$5/$CT$5)*$DB$4</f>
        <v>#DIV/0!</v>
      </c>
      <c r="DI10" s="303" t="e">
        <f>(Tabla292[[#This Row],[Columna4]]*DI$5/$CT$5)*$DB$4</f>
        <v>#DIV/0!</v>
      </c>
      <c r="DJ10" s="303" t="e">
        <f>(Tabla292[[#This Row],[Columna4]]*DJ$5/$CT$5)*$DB$4</f>
        <v>#DIV/0!</v>
      </c>
      <c r="DK10" s="303" t="e">
        <f>(Tabla292[[#This Row],[Columna4]]*DK$5/$CT$5)*$DB$4</f>
        <v>#DIV/0!</v>
      </c>
      <c r="DL10" s="303" t="e">
        <f>(Tabla292[[#This Row],[Columna4]]*DL$5/$CT$5)*$DB$4</f>
        <v>#DIV/0!</v>
      </c>
      <c r="DM10" s="303" t="e">
        <f>(Tabla292[[#This Row],[Columna4]]*DM$5/$CT$5)*$DB$4</f>
        <v>#DIV/0!</v>
      </c>
      <c r="DN10" s="303" t="e">
        <f>(Tabla292[[#This Row],[Columna4]]*DN$5/$CT$5)*$DB$4</f>
        <v>#DIV/0!</v>
      </c>
      <c r="DP10" s="524"/>
      <c r="DQ10" s="524"/>
      <c r="DR10" s="298" t="e">
        <f>$AS$8</f>
        <v>#DIV/0!</v>
      </c>
      <c r="DS10" s="242" t="str">
        <f>Tabla2[[#This Row],[Columna1]]</f>
        <v>C3</v>
      </c>
      <c r="DT10" s="303" t="e">
        <f>Tabla2926[[#This Row],[Columna3]]/7</f>
        <v>#DIV/0!</v>
      </c>
      <c r="DU10" s="303" t="e">
        <f>Tabla2926[[#This Row],[Columna4]]/4.2</f>
        <v>#DIV/0!</v>
      </c>
      <c r="DV10" s="303" t="e">
        <f>Tabla292[[#This Row],[Columna16]]</f>
        <v>#DIV/0!</v>
      </c>
      <c r="DW10" s="303" t="e">
        <f>(Tabla2926[[#This Row],[Columna4]]*DW$5/$DN$5)*$DV$4</f>
        <v>#DIV/0!</v>
      </c>
      <c r="DX10" s="303" t="e">
        <f>(Tabla2926[[#This Row],[Columna4]]*DX$5/$DN$5)*$DV$4</f>
        <v>#DIV/0!</v>
      </c>
      <c r="DY10" s="303" t="e">
        <f>(Tabla2926[[#This Row],[Columna4]]*DY$5/$DN$5)*$DV$4</f>
        <v>#DIV/0!</v>
      </c>
      <c r="DZ10" s="303" t="e">
        <f>(Tabla2926[[#This Row],[Columna4]]*DZ$5/$DN$5)*$DV$4</f>
        <v>#DIV/0!</v>
      </c>
      <c r="EA10" s="303" t="e">
        <f>(Tabla2926[[#This Row],[Columna4]]*EA$5/$DN$5)*$DV$4</f>
        <v>#DIV/0!</v>
      </c>
      <c r="EB10" s="303" t="e">
        <f>(Tabla2926[[#This Row],[Columna4]]*EB$5/$DN$5)*$DV$4</f>
        <v>#DIV/0!</v>
      </c>
      <c r="EC10" s="303" t="e">
        <f>(Tabla2926[[#This Row],[Columna4]]*EC$5/$DN$5)*$DV$4</f>
        <v>#DIV/0!</v>
      </c>
      <c r="ED10" s="303" t="e">
        <f>(Tabla2926[[#This Row],[Columna4]]*ED$5/$DN$5)*$DV$4</f>
        <v>#DIV/0!</v>
      </c>
      <c r="EE10" s="303" t="e">
        <f>(Tabla2926[[#This Row],[Columna4]]*EE$5/$DN$5)*$DV$4</f>
        <v>#DIV/0!</v>
      </c>
      <c r="EF10" s="303" t="e">
        <f>(Tabla2926[[#This Row],[Columna4]]*EF$5/$DN$5)*$DV$4</f>
        <v>#DIV/0!</v>
      </c>
      <c r="EG10" s="303" t="e">
        <f>(Tabla2926[[#This Row],[Columna4]]*EG$5/$DN$5)*$DV$4</f>
        <v>#DIV/0!</v>
      </c>
      <c r="EH10" s="303" t="e">
        <f>(Tabla2926[[#This Row],[Columna4]]*EH$5/$DN$5)*$DV$4</f>
        <v>#DIV/0!</v>
      </c>
      <c r="EJ10" s="524"/>
      <c r="EK10" s="524"/>
      <c r="EL10" s="298" t="e">
        <f>$AS$8</f>
        <v>#DIV/0!</v>
      </c>
      <c r="EM10" s="242" t="str">
        <f>Tabla2[[#This Row],[Columna1]]</f>
        <v>C3</v>
      </c>
      <c r="EN10" s="303" t="e">
        <f>Tabla29268[[#This Row],[Columna3]]/7</f>
        <v>#DIV/0!</v>
      </c>
      <c r="EO10" s="303" t="e">
        <f>Tabla29268[[#This Row],[Columna4]]/4.2</f>
        <v>#DIV/0!</v>
      </c>
      <c r="EP10" s="303" t="e">
        <f>Tabla2926[[#This Row],[Columna16]]</f>
        <v>#DIV/0!</v>
      </c>
      <c r="EQ10" s="303" t="e">
        <f>(Tabla29268[[#This Row],[Columna4]]*EQ$5/$EH$5)*$EP$4</f>
        <v>#DIV/0!</v>
      </c>
      <c r="ER10" s="303" t="e">
        <f>(Tabla29268[[#This Row],[Columna4]]*ER$5/$EH$5)*$EP$4</f>
        <v>#DIV/0!</v>
      </c>
      <c r="ES10" s="303" t="e">
        <f>(Tabla29268[[#This Row],[Columna4]]*ES$5/$EH$5)*$EP$4</f>
        <v>#DIV/0!</v>
      </c>
      <c r="ET10" s="303" t="e">
        <f>(Tabla29268[[#This Row],[Columna4]]*ET$5/$EH$5)*$EP$4</f>
        <v>#DIV/0!</v>
      </c>
      <c r="EU10" s="303" t="e">
        <f>(Tabla29268[[#This Row],[Columna4]]*EU$5/$EH$5)*$EP$4</f>
        <v>#DIV/0!</v>
      </c>
      <c r="EV10" s="303" t="e">
        <f>(Tabla29268[[#This Row],[Columna4]]*EV$5/$EH$5)*$EP$4</f>
        <v>#DIV/0!</v>
      </c>
      <c r="EW10" s="303" t="e">
        <f>(Tabla29268[[#This Row],[Columna4]]*EW$5/$EH$5)*$EP$4</f>
        <v>#DIV/0!</v>
      </c>
      <c r="EX10" s="303" t="e">
        <f>(Tabla29268[[#This Row],[Columna4]]*EX$5/$EH$5)*$EP$4</f>
        <v>#DIV/0!</v>
      </c>
      <c r="EY10" s="303" t="e">
        <f>(Tabla29268[[#This Row],[Columna4]]*EY$5/$EH$5)*$EP$4</f>
        <v>#DIV/0!</v>
      </c>
      <c r="EZ10" s="303" t="e">
        <f>(Tabla29268[[#This Row],[Columna4]]*EZ$5/$EH$5)*$EP$4</f>
        <v>#DIV/0!</v>
      </c>
      <c r="FA10" s="303" t="e">
        <f>(Tabla29268[[#This Row],[Columna4]]*FA$5/$EH$5)*$EP$4</f>
        <v>#DIV/0!</v>
      </c>
      <c r="FB10" s="303" t="e">
        <f>(Tabla29268[[#This Row],[Columna4]]*FB$5/$EH$5)*$EP$4</f>
        <v>#DIV/0!</v>
      </c>
      <c r="FE10" s="307" t="s">
        <v>19</v>
      </c>
      <c r="FF10" s="308">
        <f>FF8-FF9</f>
        <v>0</v>
      </c>
      <c r="FG10" s="308">
        <f t="shared" ref="FG10:FQ10" si="50">FG8-FG9</f>
        <v>0</v>
      </c>
      <c r="FH10" s="308">
        <f t="shared" si="50"/>
        <v>0</v>
      </c>
      <c r="FI10" s="308">
        <f t="shared" si="50"/>
        <v>0</v>
      </c>
      <c r="FJ10" s="308">
        <f t="shared" si="50"/>
        <v>0</v>
      </c>
      <c r="FK10" s="308">
        <f t="shared" si="50"/>
        <v>0</v>
      </c>
      <c r="FL10" s="308">
        <f t="shared" si="50"/>
        <v>0</v>
      </c>
      <c r="FM10" s="308">
        <f t="shared" si="50"/>
        <v>0</v>
      </c>
      <c r="FN10" s="308">
        <f t="shared" si="50"/>
        <v>0</v>
      </c>
      <c r="FO10" s="308">
        <f t="shared" si="50"/>
        <v>0</v>
      </c>
      <c r="FP10" s="308">
        <f t="shared" si="50"/>
        <v>0</v>
      </c>
      <c r="FQ10" s="308">
        <f t="shared" si="50"/>
        <v>0</v>
      </c>
      <c r="FR10" s="309">
        <f t="shared" si="14"/>
        <v>0</v>
      </c>
      <c r="FS10" s="260" t="e">
        <f>FR10/$FR$6</f>
        <v>#DIV/0!</v>
      </c>
      <c r="FV10" s="307" t="s">
        <v>19</v>
      </c>
      <c r="FW10" s="308" t="e">
        <f>FW8-FW9</f>
        <v>#DIV/0!</v>
      </c>
      <c r="FX10" s="308" t="e">
        <f t="shared" ref="FX10:GH10" si="51">FX8-FX9</f>
        <v>#DIV/0!</v>
      </c>
      <c r="FY10" s="308" t="e">
        <f t="shared" si="51"/>
        <v>#DIV/0!</v>
      </c>
      <c r="FZ10" s="308" t="e">
        <f t="shared" si="51"/>
        <v>#DIV/0!</v>
      </c>
      <c r="GA10" s="308" t="e">
        <f t="shared" si="51"/>
        <v>#DIV/0!</v>
      </c>
      <c r="GB10" s="308" t="e">
        <f t="shared" si="51"/>
        <v>#DIV/0!</v>
      </c>
      <c r="GC10" s="308" t="e">
        <f t="shared" si="51"/>
        <v>#DIV/0!</v>
      </c>
      <c r="GD10" s="308" t="e">
        <f t="shared" si="51"/>
        <v>#DIV/0!</v>
      </c>
      <c r="GE10" s="308" t="e">
        <f t="shared" si="51"/>
        <v>#DIV/0!</v>
      </c>
      <c r="GF10" s="308" t="e">
        <f t="shared" si="51"/>
        <v>#DIV/0!</v>
      </c>
      <c r="GG10" s="308" t="e">
        <f t="shared" si="51"/>
        <v>#DIV/0!</v>
      </c>
      <c r="GH10" s="308" t="e">
        <f t="shared" si="51"/>
        <v>#DIV/0!</v>
      </c>
      <c r="GI10" s="309" t="e">
        <f t="shared" si="16"/>
        <v>#DIV/0!</v>
      </c>
      <c r="GJ10" s="262" t="e">
        <f t="shared" si="35"/>
        <v>#DIV/0!</v>
      </c>
      <c r="GL10" s="250"/>
      <c r="GM10" s="310" t="s">
        <v>455</v>
      </c>
      <c r="GN10" s="311" t="e">
        <f>SUM(GN11:GN14)</f>
        <v>#DIV/0!</v>
      </c>
      <c r="GO10" s="311" t="e">
        <f t="shared" ref="GO10:GY10" si="52">SUM(GO11:GO14)</f>
        <v>#DIV/0!</v>
      </c>
      <c r="GP10" s="311" t="e">
        <f t="shared" si="52"/>
        <v>#DIV/0!</v>
      </c>
      <c r="GQ10" s="311" t="e">
        <f t="shared" si="52"/>
        <v>#DIV/0!</v>
      </c>
      <c r="GR10" s="311" t="e">
        <f t="shared" si="52"/>
        <v>#DIV/0!</v>
      </c>
      <c r="GS10" s="311" t="e">
        <f t="shared" si="52"/>
        <v>#DIV/0!</v>
      </c>
      <c r="GT10" s="311" t="e">
        <f t="shared" si="52"/>
        <v>#DIV/0!</v>
      </c>
      <c r="GU10" s="311" t="e">
        <f t="shared" si="52"/>
        <v>#DIV/0!</v>
      </c>
      <c r="GV10" s="311" t="e">
        <f t="shared" si="52"/>
        <v>#DIV/0!</v>
      </c>
      <c r="GW10" s="311" t="e">
        <f t="shared" si="52"/>
        <v>#DIV/0!</v>
      </c>
      <c r="GX10" s="311" t="e">
        <f t="shared" si="52"/>
        <v>#DIV/0!</v>
      </c>
      <c r="GY10" s="311" t="e">
        <f t="shared" si="52"/>
        <v>#DIV/0!</v>
      </c>
      <c r="GZ10" s="311" t="e">
        <f>SUM(GZ11:GZ14)</f>
        <v>#DIV/0!</v>
      </c>
      <c r="HA10" s="312" t="e">
        <f>GZ10/$GZ$6</f>
        <v>#DIV/0!</v>
      </c>
      <c r="HD10" s="52"/>
      <c r="HE10" s="52"/>
      <c r="HF10" s="53"/>
      <c r="HG10" s="54"/>
      <c r="HH10" s="51"/>
      <c r="HI10" s="51"/>
      <c r="HJ10" s="143"/>
      <c r="HK10" s="136">
        <f>HH9/HK9</f>
        <v>0</v>
      </c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  <c r="IL10" s="288"/>
      <c r="IM10" s="285"/>
    </row>
    <row r="11" spans="2:247" ht="14.4" customHeight="1" x14ac:dyDescent="0.3">
      <c r="C11" s="44" t="s">
        <v>570</v>
      </c>
      <c r="D11" s="108">
        <f>D15*D7</f>
        <v>0</v>
      </c>
      <c r="H11" s="500" t="s">
        <v>610</v>
      </c>
      <c r="I11" s="500"/>
      <c r="J11" s="500"/>
      <c r="L11" s="114" t="s">
        <v>316</v>
      </c>
      <c r="M11" s="101" t="s">
        <v>579</v>
      </c>
      <c r="O11" s="501" t="s">
        <v>334</v>
      </c>
      <c r="P11" s="501"/>
      <c r="Q11" s="501"/>
      <c r="R11" s="501"/>
      <c r="W11" s="336" t="str">
        <f t="shared" ref="W11:W19" si="53">IF(W10="Enero","Febrero",IF(W10="Febrero","Marzo",IF(W10="Marzo","Abril",IF(W10="Abril","Mayo",IF(W10="Mayo","Junio",IF(W10="Junio","Julio",IF(W10="Julio","Agosto",IF(W10="Agosto","Septiembre",IF(W10="Septiembre","Octubre",IF(W10="Octubre","Noviembre",IF(W10="Noviembre","Diciembre",IF(W10="Diciembre","Enero"))))))))))))</f>
        <v>Julio</v>
      </c>
      <c r="X11" s="335" t="e">
        <f>X25</f>
        <v>#DIV/0!</v>
      </c>
      <c r="Y11" s="336" t="s">
        <v>5</v>
      </c>
      <c r="Z11" s="337">
        <f t="shared" si="47"/>
        <v>0</v>
      </c>
      <c r="AA11" s="338">
        <f t="shared" si="18"/>
        <v>0</v>
      </c>
      <c r="AB11" s="339">
        <f t="shared" si="48"/>
        <v>0</v>
      </c>
      <c r="AC11" s="339">
        <f t="shared" si="37"/>
        <v>0</v>
      </c>
      <c r="AD11" s="340">
        <f t="shared" si="38"/>
        <v>1</v>
      </c>
      <c r="AE11" s="341">
        <f t="shared" si="39"/>
        <v>0</v>
      </c>
      <c r="AF11" s="342">
        <f t="shared" si="49"/>
        <v>0</v>
      </c>
      <c r="AG11" s="343">
        <f t="shared" si="40"/>
        <v>0</v>
      </c>
      <c r="AH11" s="344">
        <f t="shared" si="41"/>
        <v>0</v>
      </c>
      <c r="AI11" s="338">
        <f t="shared" si="42"/>
        <v>0</v>
      </c>
      <c r="AJ11" s="345" t="e">
        <f t="shared" si="43"/>
        <v>#DIV/0!</v>
      </c>
      <c r="AK11" s="346" t="e">
        <f t="shared" si="44"/>
        <v>#DIV/0!</v>
      </c>
      <c r="AM11" s="348">
        <f t="shared" si="5"/>
        <v>0</v>
      </c>
      <c r="AN11" s="348">
        <f t="shared" si="6"/>
        <v>0</v>
      </c>
      <c r="AO11" s="348">
        <f t="shared" si="7"/>
        <v>0</v>
      </c>
      <c r="AP11" s="348">
        <f t="shared" si="8"/>
        <v>0</v>
      </c>
      <c r="AQ11" s="349" t="s">
        <v>774</v>
      </c>
      <c r="AR11" s="297">
        <f t="shared" si="9"/>
        <v>0</v>
      </c>
      <c r="AS11" s="350" t="e">
        <f t="shared" si="2"/>
        <v>#DIV/0!</v>
      </c>
      <c r="AT11" s="530" t="e">
        <f>SUM(AS11:AS15)</f>
        <v>#DIV/0!</v>
      </c>
      <c r="AU11" s="530" t="s">
        <v>306</v>
      </c>
      <c r="AV11" s="299">
        <v>0</v>
      </c>
      <c r="AW11" s="300">
        <v>0</v>
      </c>
      <c r="AX11" s="301"/>
      <c r="AY11" s="302" t="str">
        <f t="shared" si="10"/>
        <v>Septiembre</v>
      </c>
      <c r="AZ11" s="303">
        <f>Tabla2[[#Totals],[Columna10]]</f>
        <v>0</v>
      </c>
      <c r="BA11" s="303" t="e">
        <f>Tabla29[[#Totals],[Columna10]]</f>
        <v>#DIV/0!</v>
      </c>
      <c r="BB11" s="303" t="e">
        <f>Tabla292[[#Totals],[Columna10]]</f>
        <v>#DIV/0!</v>
      </c>
      <c r="BC11" s="303" t="e">
        <f>Tabla2926[[#Totals],[Columna10]]</f>
        <v>#DIV/0!</v>
      </c>
      <c r="BD11" s="303" t="e">
        <f>Tabla29268[[#Totals],[Columna10]]</f>
        <v>#DIV/0!</v>
      </c>
      <c r="BE11" s="304" t="e">
        <f t="shared" si="11"/>
        <v>#DIV/0!</v>
      </c>
      <c r="BF11" s="305" t="e">
        <f t="shared" si="12"/>
        <v>#DIV/0!</v>
      </c>
      <c r="BH11" s="524"/>
      <c r="BI11" s="524"/>
      <c r="BJ11" s="298" t="e">
        <f>$AS$9</f>
        <v>#DIV/0!</v>
      </c>
      <c r="BK11" s="242" t="str">
        <f t="shared" si="19"/>
        <v>C4</v>
      </c>
      <c r="BL11" s="303">
        <f t="shared" si="20"/>
        <v>0</v>
      </c>
      <c r="BM11" s="303">
        <f t="shared" si="20"/>
        <v>0</v>
      </c>
      <c r="BN11" s="303">
        <f t="shared" si="20"/>
        <v>0</v>
      </c>
      <c r="BO11" s="303">
        <f t="shared" si="21"/>
        <v>0</v>
      </c>
      <c r="BP11" s="303">
        <f t="shared" si="22"/>
        <v>0</v>
      </c>
      <c r="BQ11" s="303">
        <f t="shared" si="23"/>
        <v>0</v>
      </c>
      <c r="BR11" s="303">
        <f t="shared" si="24"/>
        <v>0</v>
      </c>
      <c r="BS11" s="303">
        <f t="shared" si="25"/>
        <v>0</v>
      </c>
      <c r="BT11" s="303">
        <f t="shared" si="26"/>
        <v>0</v>
      </c>
      <c r="BU11" s="303">
        <f t="shared" si="27"/>
        <v>0</v>
      </c>
      <c r="BV11" s="303">
        <f t="shared" si="28"/>
        <v>0</v>
      </c>
      <c r="BW11" s="303">
        <f t="shared" si="29"/>
        <v>0</v>
      </c>
      <c r="BX11" s="303">
        <f t="shared" si="30"/>
        <v>0</v>
      </c>
      <c r="BY11" s="303">
        <f t="shared" si="31"/>
        <v>0</v>
      </c>
      <c r="BZ11" s="303">
        <f t="shared" si="32"/>
        <v>0</v>
      </c>
      <c r="CB11" s="524"/>
      <c r="CC11" s="524"/>
      <c r="CD11" s="298" t="e">
        <f>$AS$9</f>
        <v>#DIV/0!</v>
      </c>
      <c r="CE11" s="242" t="str">
        <f>Tabla2[[#This Row],[Columna1]]</f>
        <v>C4</v>
      </c>
      <c r="CF11" s="303">
        <f>Tabla29[[#This Row],[Columna3]]/7</f>
        <v>0</v>
      </c>
      <c r="CG11" s="303">
        <f>Tabla29[[#This Row],[Columna4]]/4.2</f>
        <v>0</v>
      </c>
      <c r="CH11" s="303">
        <f>Tabla2[[#This Row],[Columna16]]</f>
        <v>0</v>
      </c>
      <c r="CI11" s="303" t="e">
        <f>(Tabla29[[#This Row],[Columna4]]*CI$5/$BZ$5)*$CH$4</f>
        <v>#DIV/0!</v>
      </c>
      <c r="CJ11" s="303" t="e">
        <f>(Tabla29[[#This Row],[Columna4]]*CJ$5/$BZ$5)*$CH$4</f>
        <v>#DIV/0!</v>
      </c>
      <c r="CK11" s="303" t="e">
        <f>(Tabla29[[#This Row],[Columna4]]*CK$5/$BZ$5)*$CH$4</f>
        <v>#DIV/0!</v>
      </c>
      <c r="CL11" s="303" t="e">
        <f>(Tabla29[[#This Row],[Columna4]]*CL$5/$BZ$5)*$CH$4</f>
        <v>#DIV/0!</v>
      </c>
      <c r="CM11" s="303" t="e">
        <f>(Tabla29[[#This Row],[Columna4]]*CM$5/$BZ$5)*$CH$4</f>
        <v>#DIV/0!</v>
      </c>
      <c r="CN11" s="303" t="e">
        <f>(Tabla29[[#This Row],[Columna4]]*CN$5/$BZ$5)*$CH$4</f>
        <v>#DIV/0!</v>
      </c>
      <c r="CO11" s="303" t="e">
        <f>(Tabla29[[#This Row],[Columna4]]*CO$5/$BZ$5)*$CH$4</f>
        <v>#DIV/0!</v>
      </c>
      <c r="CP11" s="303" t="e">
        <f>(Tabla29[[#This Row],[Columna4]]*CP$5/$BZ$5)*$CH$4</f>
        <v>#DIV/0!</v>
      </c>
      <c r="CQ11" s="303" t="e">
        <f>(Tabla29[[#This Row],[Columna4]]*CQ$5/$BZ$5)*$CH$4</f>
        <v>#DIV/0!</v>
      </c>
      <c r="CR11" s="303" t="e">
        <f>(Tabla29[[#This Row],[Columna4]]*CR$5/$BZ$5)*$CH$4</f>
        <v>#DIV/0!</v>
      </c>
      <c r="CS11" s="303" t="e">
        <f>(Tabla29[[#This Row],[Columna4]]*CS$5/$BZ$5)*$CH$4</f>
        <v>#DIV/0!</v>
      </c>
      <c r="CT11" s="303" t="e">
        <f>(Tabla29[[#This Row],[Columna4]]*CT$5/$BZ$5)*$CH$4</f>
        <v>#DIV/0!</v>
      </c>
      <c r="CV11" s="524"/>
      <c r="CW11" s="524"/>
      <c r="CX11" s="298" t="e">
        <f>$AS$9</f>
        <v>#DIV/0!</v>
      </c>
      <c r="CY11" s="242" t="str">
        <f>Tabla2[[#This Row],[Columna1]]</f>
        <v>C4</v>
      </c>
      <c r="CZ11" s="303" t="e">
        <f>Tabla292[[#This Row],[Columna3]]/7</f>
        <v>#DIV/0!</v>
      </c>
      <c r="DA11" s="303" t="e">
        <f>Tabla292[[#This Row],[Columna4]]/4.2</f>
        <v>#DIV/0!</v>
      </c>
      <c r="DB11" s="303" t="e">
        <f>Tabla29[[#This Row],[Columna16]]</f>
        <v>#DIV/0!</v>
      </c>
      <c r="DC11" s="303" t="e">
        <f>(Tabla292[[#This Row],[Columna4]]*DC$5/$CT$5)*$DB$4</f>
        <v>#DIV/0!</v>
      </c>
      <c r="DD11" s="303" t="e">
        <f>(Tabla292[[#This Row],[Columna4]]*DD$5/$CT$5)*$DB$4</f>
        <v>#DIV/0!</v>
      </c>
      <c r="DE11" s="303" t="e">
        <f>(Tabla292[[#This Row],[Columna4]]*DE$5/$CT$5)*$DB$4</f>
        <v>#DIV/0!</v>
      </c>
      <c r="DF11" s="303" t="e">
        <f>(Tabla292[[#This Row],[Columna4]]*DF$5/$CT$5)*$DB$4</f>
        <v>#DIV/0!</v>
      </c>
      <c r="DG11" s="303" t="e">
        <f>(Tabla292[[#This Row],[Columna4]]*DG$5/$CT$5)*$DB$4</f>
        <v>#DIV/0!</v>
      </c>
      <c r="DH11" s="303" t="e">
        <f>(Tabla292[[#This Row],[Columna4]]*DH$5/$CT$5)*$DB$4</f>
        <v>#DIV/0!</v>
      </c>
      <c r="DI11" s="303" t="e">
        <f>(Tabla292[[#This Row],[Columna4]]*DI$5/$CT$5)*$DB$4</f>
        <v>#DIV/0!</v>
      </c>
      <c r="DJ11" s="303" t="e">
        <f>(Tabla292[[#This Row],[Columna4]]*DJ$5/$CT$5)*$DB$4</f>
        <v>#DIV/0!</v>
      </c>
      <c r="DK11" s="303" t="e">
        <f>(Tabla292[[#This Row],[Columna4]]*DK$5/$CT$5)*$DB$4</f>
        <v>#DIV/0!</v>
      </c>
      <c r="DL11" s="303" t="e">
        <f>(Tabla292[[#This Row],[Columna4]]*DL$5/$CT$5)*$DB$4</f>
        <v>#DIV/0!</v>
      </c>
      <c r="DM11" s="303" t="e">
        <f>(Tabla292[[#This Row],[Columna4]]*DM$5/$CT$5)*$DB$4</f>
        <v>#DIV/0!</v>
      </c>
      <c r="DN11" s="303" t="e">
        <f>(Tabla292[[#This Row],[Columna4]]*DN$5/$CT$5)*$DB$4</f>
        <v>#DIV/0!</v>
      </c>
      <c r="DP11" s="524"/>
      <c r="DQ11" s="524"/>
      <c r="DR11" s="298" t="e">
        <f>$AS$9</f>
        <v>#DIV/0!</v>
      </c>
      <c r="DS11" s="242" t="str">
        <f>Tabla2[[#This Row],[Columna1]]</f>
        <v>C4</v>
      </c>
      <c r="DT11" s="303" t="e">
        <f>Tabla2926[[#This Row],[Columna3]]/7</f>
        <v>#DIV/0!</v>
      </c>
      <c r="DU11" s="303" t="e">
        <f>Tabla2926[[#This Row],[Columna4]]/4.2</f>
        <v>#DIV/0!</v>
      </c>
      <c r="DV11" s="303" t="e">
        <f>Tabla292[[#This Row],[Columna16]]</f>
        <v>#DIV/0!</v>
      </c>
      <c r="DW11" s="303" t="e">
        <f>(Tabla2926[[#This Row],[Columna4]]*DW$5/$DN$5)*$DV$4</f>
        <v>#DIV/0!</v>
      </c>
      <c r="DX11" s="303" t="e">
        <f>(Tabla2926[[#This Row],[Columna4]]*DX$5/$DN$5)*$DV$4</f>
        <v>#DIV/0!</v>
      </c>
      <c r="DY11" s="303" t="e">
        <f>(Tabla2926[[#This Row],[Columna4]]*DY$5/$DN$5)*$DV$4</f>
        <v>#DIV/0!</v>
      </c>
      <c r="DZ11" s="303" t="e">
        <f>(Tabla2926[[#This Row],[Columna4]]*DZ$5/$DN$5)*$DV$4</f>
        <v>#DIV/0!</v>
      </c>
      <c r="EA11" s="303" t="e">
        <f>(Tabla2926[[#This Row],[Columna4]]*EA$5/$DN$5)*$DV$4</f>
        <v>#DIV/0!</v>
      </c>
      <c r="EB11" s="303" t="e">
        <f>(Tabla2926[[#This Row],[Columna4]]*EB$5/$DN$5)*$DV$4</f>
        <v>#DIV/0!</v>
      </c>
      <c r="EC11" s="303" t="e">
        <f>(Tabla2926[[#This Row],[Columna4]]*EC$5/$DN$5)*$DV$4</f>
        <v>#DIV/0!</v>
      </c>
      <c r="ED11" s="303" t="e">
        <f>(Tabla2926[[#This Row],[Columna4]]*ED$5/$DN$5)*$DV$4</f>
        <v>#DIV/0!</v>
      </c>
      <c r="EE11" s="303" t="e">
        <f>(Tabla2926[[#This Row],[Columna4]]*EE$5/$DN$5)*$DV$4</f>
        <v>#DIV/0!</v>
      </c>
      <c r="EF11" s="303" t="e">
        <f>(Tabla2926[[#This Row],[Columna4]]*EF$5/$DN$5)*$DV$4</f>
        <v>#DIV/0!</v>
      </c>
      <c r="EG11" s="303" t="e">
        <f>(Tabla2926[[#This Row],[Columna4]]*EG$5/$DN$5)*$DV$4</f>
        <v>#DIV/0!</v>
      </c>
      <c r="EH11" s="303" t="e">
        <f>(Tabla2926[[#This Row],[Columna4]]*EH$5/$DN$5)*$DV$4</f>
        <v>#DIV/0!</v>
      </c>
      <c r="EJ11" s="524"/>
      <c r="EK11" s="524"/>
      <c r="EL11" s="298" t="e">
        <f>$AS$9</f>
        <v>#DIV/0!</v>
      </c>
      <c r="EM11" s="242" t="str">
        <f>Tabla2[[#This Row],[Columna1]]</f>
        <v>C4</v>
      </c>
      <c r="EN11" s="303" t="e">
        <f>Tabla29268[[#This Row],[Columna3]]/7</f>
        <v>#DIV/0!</v>
      </c>
      <c r="EO11" s="303" t="e">
        <f>Tabla29268[[#This Row],[Columna4]]/4.2</f>
        <v>#DIV/0!</v>
      </c>
      <c r="EP11" s="303" t="e">
        <f>Tabla2926[[#This Row],[Columna16]]</f>
        <v>#DIV/0!</v>
      </c>
      <c r="EQ11" s="303" t="e">
        <f>(Tabla29268[[#This Row],[Columna4]]*EQ$5/$EH$5)*$EP$4</f>
        <v>#DIV/0!</v>
      </c>
      <c r="ER11" s="303" t="e">
        <f>(Tabla29268[[#This Row],[Columna4]]*ER$5/$EH$5)*$EP$4</f>
        <v>#DIV/0!</v>
      </c>
      <c r="ES11" s="303" t="e">
        <f>(Tabla29268[[#This Row],[Columna4]]*ES$5/$EH$5)*$EP$4</f>
        <v>#DIV/0!</v>
      </c>
      <c r="ET11" s="303" t="e">
        <f>(Tabla29268[[#This Row],[Columna4]]*ET$5/$EH$5)*$EP$4</f>
        <v>#DIV/0!</v>
      </c>
      <c r="EU11" s="303" t="e">
        <f>(Tabla29268[[#This Row],[Columna4]]*EU$5/$EH$5)*$EP$4</f>
        <v>#DIV/0!</v>
      </c>
      <c r="EV11" s="303" t="e">
        <f>(Tabla29268[[#This Row],[Columna4]]*EV$5/$EH$5)*$EP$4</f>
        <v>#DIV/0!</v>
      </c>
      <c r="EW11" s="303" t="e">
        <f>(Tabla29268[[#This Row],[Columna4]]*EW$5/$EH$5)*$EP$4</f>
        <v>#DIV/0!</v>
      </c>
      <c r="EX11" s="303" t="e">
        <f>(Tabla29268[[#This Row],[Columna4]]*EX$5/$EH$5)*$EP$4</f>
        <v>#DIV/0!</v>
      </c>
      <c r="EY11" s="303" t="e">
        <f>(Tabla29268[[#This Row],[Columna4]]*EY$5/$EH$5)*$EP$4</f>
        <v>#DIV/0!</v>
      </c>
      <c r="EZ11" s="303" t="e">
        <f>(Tabla29268[[#This Row],[Columna4]]*EZ$5/$EH$5)*$EP$4</f>
        <v>#DIV/0!</v>
      </c>
      <c r="FA11" s="303" t="e">
        <f>(Tabla29268[[#This Row],[Columna4]]*FA$5/$EH$5)*$EP$4</f>
        <v>#DIV/0!</v>
      </c>
      <c r="FB11" s="303" t="e">
        <f>(Tabla29268[[#This Row],[Columna4]]*FB$5/$EH$5)*$EP$4</f>
        <v>#DIV/0!</v>
      </c>
      <c r="FG11" s="351"/>
      <c r="FH11" s="351"/>
      <c r="FI11" s="351"/>
      <c r="FJ11" s="351"/>
      <c r="FK11" s="351"/>
      <c r="FL11" s="351"/>
      <c r="FM11" s="351"/>
      <c r="FN11" s="351"/>
      <c r="FO11" s="351"/>
      <c r="FP11" s="351"/>
      <c r="FQ11" s="351"/>
      <c r="FS11" s="260"/>
      <c r="FX11" s="351"/>
      <c r="FY11" s="351"/>
      <c r="FZ11" s="351"/>
      <c r="GA11" s="351"/>
      <c r="GB11" s="351"/>
      <c r="GC11" s="351"/>
      <c r="GD11" s="351"/>
      <c r="GE11" s="351"/>
      <c r="GF11" s="351"/>
      <c r="GG11" s="351"/>
      <c r="GH11" s="351"/>
      <c r="GJ11" s="262"/>
      <c r="GL11" s="250">
        <f>GL9+1</f>
        <v>4</v>
      </c>
      <c r="GM11" s="352" t="s">
        <v>456</v>
      </c>
      <c r="GN11" s="353">
        <f>FF9</f>
        <v>0</v>
      </c>
      <c r="GO11" s="353">
        <f t="shared" ref="GO11:GY11" si="54">FG9</f>
        <v>0</v>
      </c>
      <c r="GP11" s="353">
        <f t="shared" si="54"/>
        <v>0</v>
      </c>
      <c r="GQ11" s="353">
        <f t="shared" si="54"/>
        <v>0</v>
      </c>
      <c r="GR11" s="353">
        <f t="shared" si="54"/>
        <v>0</v>
      </c>
      <c r="GS11" s="353">
        <f t="shared" si="54"/>
        <v>0</v>
      </c>
      <c r="GT11" s="353">
        <f t="shared" si="54"/>
        <v>0</v>
      </c>
      <c r="GU11" s="353">
        <f t="shared" si="54"/>
        <v>0</v>
      </c>
      <c r="GV11" s="353">
        <f t="shared" si="54"/>
        <v>0</v>
      </c>
      <c r="GW11" s="353">
        <f t="shared" si="54"/>
        <v>0</v>
      </c>
      <c r="GX11" s="353">
        <f t="shared" si="54"/>
        <v>0</v>
      </c>
      <c r="GY11" s="353">
        <f t="shared" si="54"/>
        <v>0</v>
      </c>
      <c r="GZ11" s="328">
        <f>SUM(GN11:GY11)</f>
        <v>0</v>
      </c>
      <c r="HA11" s="329" t="e">
        <f t="shared" ref="HA11:HA40" si="55">GZ11/$GZ$6</f>
        <v>#DIV/0!</v>
      </c>
      <c r="HD11" s="515" t="s">
        <v>517</v>
      </c>
      <c r="HE11" s="516"/>
      <c r="HF11" s="516"/>
      <c r="HG11" s="516"/>
      <c r="HH11" s="517"/>
      <c r="HI11" s="51"/>
      <c r="HJ11" s="143"/>
      <c r="HK11" s="90" t="s">
        <v>641</v>
      </c>
      <c r="HM11" s="330" t="s">
        <v>585</v>
      </c>
      <c r="HN11" s="316">
        <f>HN9*HO11</f>
        <v>0</v>
      </c>
      <c r="HO11" s="354">
        <f>$FS$7</f>
        <v>2.5000000000000001E-2</v>
      </c>
      <c r="HP11" s="316">
        <f t="shared" ref="HP11" si="56">HP9*HQ11</f>
        <v>0</v>
      </c>
      <c r="HQ11" s="354">
        <f>$FS$7</f>
        <v>2.5000000000000001E-2</v>
      </c>
      <c r="HR11" s="316">
        <f t="shared" ref="HR11" si="57">HR9*HS11</f>
        <v>0</v>
      </c>
      <c r="HS11" s="354">
        <f>$FS$7</f>
        <v>2.5000000000000001E-2</v>
      </c>
      <c r="HT11" s="316">
        <f t="shared" ref="HT11" si="58">HT9*HU11</f>
        <v>0</v>
      </c>
      <c r="HU11" s="354">
        <f>$FS$7</f>
        <v>2.5000000000000001E-2</v>
      </c>
      <c r="HV11" s="316">
        <f t="shared" ref="HV11" si="59">HV9*HW11</f>
        <v>0</v>
      </c>
      <c r="HW11" s="354">
        <f>$FS$7</f>
        <v>2.5000000000000001E-2</v>
      </c>
      <c r="HX11" s="316">
        <f t="shared" ref="HX11" si="60">HX9*HY11</f>
        <v>0</v>
      </c>
      <c r="HY11" s="354">
        <f>$FS$7</f>
        <v>2.5000000000000001E-2</v>
      </c>
      <c r="HZ11" s="316">
        <f t="shared" ref="HZ11" si="61">HZ9*IA11</f>
        <v>0</v>
      </c>
      <c r="IA11" s="354">
        <f>$FS$7</f>
        <v>2.5000000000000001E-2</v>
      </c>
      <c r="IB11" s="316">
        <f t="shared" ref="IB11" si="62">IB9*IC11</f>
        <v>0</v>
      </c>
      <c r="IC11" s="354">
        <f>$FS$7</f>
        <v>2.5000000000000001E-2</v>
      </c>
      <c r="ID11" s="316">
        <f t="shared" ref="ID11" si="63">ID9*IE11</f>
        <v>0</v>
      </c>
      <c r="IE11" s="354">
        <f>$FS$7</f>
        <v>2.5000000000000001E-2</v>
      </c>
      <c r="IF11" s="316">
        <f t="shared" ref="IF11" si="64">IF9*IG11</f>
        <v>0</v>
      </c>
      <c r="IG11" s="354">
        <f>$FS$7</f>
        <v>2.5000000000000001E-2</v>
      </c>
      <c r="IH11" s="316">
        <f t="shared" ref="IH11" si="65">IH9*II11</f>
        <v>0</v>
      </c>
      <c r="II11" s="354">
        <f>$FS$7</f>
        <v>2.5000000000000001E-2</v>
      </c>
      <c r="IJ11" s="316">
        <f t="shared" ref="IJ11" si="66">IJ9*IK11</f>
        <v>0</v>
      </c>
      <c r="IK11" s="354">
        <f>$FS$7</f>
        <v>2.5000000000000001E-2</v>
      </c>
      <c r="IL11" s="333">
        <f>HN11+HP11+HR11+HT11+HV11+HX11+HZ11+IB11+ID11+IF11+IH11+IJ11</f>
        <v>0</v>
      </c>
      <c r="IM11" s="332" t="e">
        <f>IL11/$IL$7</f>
        <v>#DIV/0!</v>
      </c>
    </row>
    <row r="12" spans="2:247" ht="14.4" customHeight="1" x14ac:dyDescent="0.3">
      <c r="C12" s="44" t="s">
        <v>573</v>
      </c>
      <c r="D12" s="50">
        <f>Inversionista!P110</f>
        <v>5</v>
      </c>
      <c r="H12" s="44" t="s">
        <v>495</v>
      </c>
      <c r="I12" s="2" t="s">
        <v>454</v>
      </c>
      <c r="J12" s="2" t="s">
        <v>496</v>
      </c>
      <c r="L12" s="16">
        <v>0.4</v>
      </c>
      <c r="M12" s="13" t="s">
        <v>318</v>
      </c>
      <c r="P12" s="14" t="s">
        <v>337</v>
      </c>
      <c r="Q12" s="48">
        <f>0.75*0.75</f>
        <v>0.5625</v>
      </c>
      <c r="R12" s="13" t="s">
        <v>338</v>
      </c>
      <c r="W12" s="336" t="str">
        <f t="shared" si="53"/>
        <v>Agosto</v>
      </c>
      <c r="X12" s="335" t="e">
        <f t="shared" ref="X12:X19" si="67">X26</f>
        <v>#DIV/0!</v>
      </c>
      <c r="Y12" s="336" t="s">
        <v>6</v>
      </c>
      <c r="Z12" s="337">
        <f t="shared" si="47"/>
        <v>0</v>
      </c>
      <c r="AA12" s="338">
        <f t="shared" si="18"/>
        <v>0</v>
      </c>
      <c r="AB12" s="339">
        <f t="shared" si="48"/>
        <v>0</v>
      </c>
      <c r="AC12" s="339">
        <f t="shared" si="37"/>
        <v>0</v>
      </c>
      <c r="AD12" s="340">
        <f t="shared" si="38"/>
        <v>1</v>
      </c>
      <c r="AE12" s="341">
        <f t="shared" si="39"/>
        <v>0</v>
      </c>
      <c r="AF12" s="342">
        <f t="shared" si="49"/>
        <v>0</v>
      </c>
      <c r="AG12" s="343">
        <f t="shared" si="40"/>
        <v>0</v>
      </c>
      <c r="AH12" s="344">
        <f t="shared" si="41"/>
        <v>0</v>
      </c>
      <c r="AI12" s="338">
        <f t="shared" si="42"/>
        <v>0</v>
      </c>
      <c r="AJ12" s="345" t="e">
        <f t="shared" si="43"/>
        <v>#DIV/0!</v>
      </c>
      <c r="AK12" s="346" t="e">
        <f t="shared" si="44"/>
        <v>#DIV/0!</v>
      </c>
      <c r="AM12" s="348">
        <f t="shared" si="5"/>
        <v>0</v>
      </c>
      <c r="AN12" s="348">
        <f t="shared" si="6"/>
        <v>0</v>
      </c>
      <c r="AO12" s="348">
        <f t="shared" si="7"/>
        <v>0</v>
      </c>
      <c r="AP12" s="348">
        <f t="shared" si="8"/>
        <v>0</v>
      </c>
      <c r="AQ12" s="349" t="s">
        <v>775</v>
      </c>
      <c r="AR12" s="297">
        <f t="shared" si="9"/>
        <v>0</v>
      </c>
      <c r="AS12" s="350" t="e">
        <f t="shared" si="2"/>
        <v>#DIV/0!</v>
      </c>
      <c r="AT12" s="530"/>
      <c r="AU12" s="530"/>
      <c r="AV12" s="299">
        <v>0</v>
      </c>
      <c r="AW12" s="300">
        <v>0</v>
      </c>
      <c r="AX12" s="301"/>
      <c r="AY12" s="302" t="str">
        <f t="shared" si="10"/>
        <v>Octubre</v>
      </c>
      <c r="AZ12" s="303">
        <f>Tabla2[[#Totals],[Columna11]]</f>
        <v>0</v>
      </c>
      <c r="BA12" s="303" t="e">
        <f>Tabla29[[#Totals],[Columna11]]</f>
        <v>#DIV/0!</v>
      </c>
      <c r="BB12" s="303" t="e">
        <f>Tabla292[[#Totals],[Columna11]]</f>
        <v>#DIV/0!</v>
      </c>
      <c r="BC12" s="303" t="e">
        <f>Tabla2926[[#Totals],[Columna11]]</f>
        <v>#DIV/0!</v>
      </c>
      <c r="BD12" s="303" t="e">
        <f>Tabla29268[[#Totals],[Columna11]]</f>
        <v>#DIV/0!</v>
      </c>
      <c r="BE12" s="304" t="e">
        <f t="shared" si="11"/>
        <v>#DIV/0!</v>
      </c>
      <c r="BF12" s="305" t="e">
        <f t="shared" si="12"/>
        <v>#DIV/0!</v>
      </c>
      <c r="BH12" s="524"/>
      <c r="BI12" s="524"/>
      <c r="BJ12" s="298" t="e">
        <f>$AS$10</f>
        <v>#DIV/0!</v>
      </c>
      <c r="BK12" s="242" t="str">
        <f t="shared" si="19"/>
        <v>C5</v>
      </c>
      <c r="BL12" s="303">
        <f t="shared" si="20"/>
        <v>0</v>
      </c>
      <c r="BM12" s="303">
        <f t="shared" si="20"/>
        <v>0</v>
      </c>
      <c r="BN12" s="303">
        <f t="shared" si="20"/>
        <v>0</v>
      </c>
      <c r="BO12" s="303">
        <f t="shared" si="21"/>
        <v>0</v>
      </c>
      <c r="BP12" s="303">
        <f t="shared" si="22"/>
        <v>0</v>
      </c>
      <c r="BQ12" s="303">
        <f t="shared" si="23"/>
        <v>0</v>
      </c>
      <c r="BR12" s="303">
        <f t="shared" si="24"/>
        <v>0</v>
      </c>
      <c r="BS12" s="303">
        <f t="shared" si="25"/>
        <v>0</v>
      </c>
      <c r="BT12" s="303">
        <f t="shared" si="26"/>
        <v>0</v>
      </c>
      <c r="BU12" s="303">
        <f t="shared" si="27"/>
        <v>0</v>
      </c>
      <c r="BV12" s="303">
        <f t="shared" si="28"/>
        <v>0</v>
      </c>
      <c r="BW12" s="303">
        <f t="shared" si="29"/>
        <v>0</v>
      </c>
      <c r="BX12" s="303">
        <f t="shared" si="30"/>
        <v>0</v>
      </c>
      <c r="BY12" s="303">
        <f t="shared" si="31"/>
        <v>0</v>
      </c>
      <c r="BZ12" s="303">
        <f t="shared" si="32"/>
        <v>0</v>
      </c>
      <c r="CB12" s="524"/>
      <c r="CC12" s="524"/>
      <c r="CD12" s="298" t="e">
        <f>$AS$10</f>
        <v>#DIV/0!</v>
      </c>
      <c r="CE12" s="242" t="str">
        <f>Tabla2[[#This Row],[Columna1]]</f>
        <v>C5</v>
      </c>
      <c r="CF12" s="303">
        <f>Tabla29[[#This Row],[Columna3]]/7</f>
        <v>0</v>
      </c>
      <c r="CG12" s="303">
        <f>Tabla29[[#This Row],[Columna4]]/4.2</f>
        <v>0</v>
      </c>
      <c r="CH12" s="303">
        <f>Tabla2[[#This Row],[Columna16]]</f>
        <v>0</v>
      </c>
      <c r="CI12" s="303" t="e">
        <f>(Tabla29[[#This Row],[Columna4]]*CI$5/$BZ$5)*$CH$4</f>
        <v>#DIV/0!</v>
      </c>
      <c r="CJ12" s="303" t="e">
        <f>(Tabla29[[#This Row],[Columna4]]*CJ$5/$BZ$5)*$CH$4</f>
        <v>#DIV/0!</v>
      </c>
      <c r="CK12" s="303" t="e">
        <f>(Tabla29[[#This Row],[Columna4]]*CK$5/$BZ$5)*$CH$4</f>
        <v>#DIV/0!</v>
      </c>
      <c r="CL12" s="303" t="e">
        <f>(Tabla29[[#This Row],[Columna4]]*CL$5/$BZ$5)*$CH$4</f>
        <v>#DIV/0!</v>
      </c>
      <c r="CM12" s="303" t="e">
        <f>(Tabla29[[#This Row],[Columna4]]*CM$5/$BZ$5)*$CH$4</f>
        <v>#DIV/0!</v>
      </c>
      <c r="CN12" s="303" t="e">
        <f>(Tabla29[[#This Row],[Columna4]]*CN$5/$BZ$5)*$CH$4</f>
        <v>#DIV/0!</v>
      </c>
      <c r="CO12" s="303" t="e">
        <f>(Tabla29[[#This Row],[Columna4]]*CO$5/$BZ$5)*$CH$4</f>
        <v>#DIV/0!</v>
      </c>
      <c r="CP12" s="303" t="e">
        <f>(Tabla29[[#This Row],[Columna4]]*CP$5/$BZ$5)*$CH$4</f>
        <v>#DIV/0!</v>
      </c>
      <c r="CQ12" s="303" t="e">
        <f>(Tabla29[[#This Row],[Columna4]]*CQ$5/$BZ$5)*$CH$4</f>
        <v>#DIV/0!</v>
      </c>
      <c r="CR12" s="303" t="e">
        <f>(Tabla29[[#This Row],[Columna4]]*CR$5/$BZ$5)*$CH$4</f>
        <v>#DIV/0!</v>
      </c>
      <c r="CS12" s="303" t="e">
        <f>(Tabla29[[#This Row],[Columna4]]*CS$5/$BZ$5)*$CH$4</f>
        <v>#DIV/0!</v>
      </c>
      <c r="CT12" s="303" t="e">
        <f>(Tabla29[[#This Row],[Columna4]]*CT$5/$BZ$5)*$CH$4</f>
        <v>#DIV/0!</v>
      </c>
      <c r="CV12" s="524"/>
      <c r="CW12" s="524"/>
      <c r="CX12" s="298" t="e">
        <f>$AS$10</f>
        <v>#DIV/0!</v>
      </c>
      <c r="CY12" s="242" t="str">
        <f>Tabla2[[#This Row],[Columna1]]</f>
        <v>C5</v>
      </c>
      <c r="CZ12" s="303" t="e">
        <f>Tabla292[[#This Row],[Columna3]]/7</f>
        <v>#DIV/0!</v>
      </c>
      <c r="DA12" s="303" t="e">
        <f>Tabla292[[#This Row],[Columna4]]/4.2</f>
        <v>#DIV/0!</v>
      </c>
      <c r="DB12" s="303" t="e">
        <f>Tabla29[[#This Row],[Columna16]]</f>
        <v>#DIV/0!</v>
      </c>
      <c r="DC12" s="303" t="e">
        <f>(Tabla292[[#This Row],[Columna4]]*DC$5/$CT$5)*$DB$4</f>
        <v>#DIV/0!</v>
      </c>
      <c r="DD12" s="303" t="e">
        <f>(Tabla292[[#This Row],[Columna4]]*DD$5/$CT$5)*$DB$4</f>
        <v>#DIV/0!</v>
      </c>
      <c r="DE12" s="303" t="e">
        <f>(Tabla292[[#This Row],[Columna4]]*DE$5/$CT$5)*$DB$4</f>
        <v>#DIV/0!</v>
      </c>
      <c r="DF12" s="303" t="e">
        <f>(Tabla292[[#This Row],[Columna4]]*DF$5/$CT$5)*$DB$4</f>
        <v>#DIV/0!</v>
      </c>
      <c r="DG12" s="303" t="e">
        <f>(Tabla292[[#This Row],[Columna4]]*DG$5/$CT$5)*$DB$4</f>
        <v>#DIV/0!</v>
      </c>
      <c r="DH12" s="303" t="e">
        <f>(Tabla292[[#This Row],[Columna4]]*DH$5/$CT$5)*$DB$4</f>
        <v>#DIV/0!</v>
      </c>
      <c r="DI12" s="303" t="e">
        <f>(Tabla292[[#This Row],[Columna4]]*DI$5/$CT$5)*$DB$4</f>
        <v>#DIV/0!</v>
      </c>
      <c r="DJ12" s="303" t="e">
        <f>(Tabla292[[#This Row],[Columna4]]*DJ$5/$CT$5)*$DB$4</f>
        <v>#DIV/0!</v>
      </c>
      <c r="DK12" s="303" t="e">
        <f>(Tabla292[[#This Row],[Columna4]]*DK$5/$CT$5)*$DB$4</f>
        <v>#DIV/0!</v>
      </c>
      <c r="DL12" s="303" t="e">
        <f>(Tabla292[[#This Row],[Columna4]]*DL$5/$CT$5)*$DB$4</f>
        <v>#DIV/0!</v>
      </c>
      <c r="DM12" s="303" t="e">
        <f>(Tabla292[[#This Row],[Columna4]]*DM$5/$CT$5)*$DB$4</f>
        <v>#DIV/0!</v>
      </c>
      <c r="DN12" s="303" t="e">
        <f>(Tabla292[[#This Row],[Columna4]]*DN$5/$CT$5)*$DB$4</f>
        <v>#DIV/0!</v>
      </c>
      <c r="DP12" s="524"/>
      <c r="DQ12" s="524"/>
      <c r="DR12" s="298" t="e">
        <f>$AS$10</f>
        <v>#DIV/0!</v>
      </c>
      <c r="DS12" s="242" t="str">
        <f>Tabla2[[#This Row],[Columna1]]</f>
        <v>C5</v>
      </c>
      <c r="DT12" s="303" t="e">
        <f>Tabla2926[[#This Row],[Columna3]]/7</f>
        <v>#DIV/0!</v>
      </c>
      <c r="DU12" s="303" t="e">
        <f>Tabla2926[[#This Row],[Columna4]]/4.2</f>
        <v>#DIV/0!</v>
      </c>
      <c r="DV12" s="303" t="e">
        <f>Tabla292[[#This Row],[Columna16]]</f>
        <v>#DIV/0!</v>
      </c>
      <c r="DW12" s="303" t="e">
        <f>(Tabla2926[[#This Row],[Columna4]]*DW$5/$DN$5)*$DV$4</f>
        <v>#DIV/0!</v>
      </c>
      <c r="DX12" s="303" t="e">
        <f>(Tabla2926[[#This Row],[Columna4]]*DX$5/$DN$5)*$DV$4</f>
        <v>#DIV/0!</v>
      </c>
      <c r="DY12" s="303" t="e">
        <f>(Tabla2926[[#This Row],[Columna4]]*DY$5/$DN$5)*$DV$4</f>
        <v>#DIV/0!</v>
      </c>
      <c r="DZ12" s="303" t="e">
        <f>(Tabla2926[[#This Row],[Columna4]]*DZ$5/$DN$5)*$DV$4</f>
        <v>#DIV/0!</v>
      </c>
      <c r="EA12" s="303" t="e">
        <f>(Tabla2926[[#This Row],[Columna4]]*EA$5/$DN$5)*$DV$4</f>
        <v>#DIV/0!</v>
      </c>
      <c r="EB12" s="303" t="e">
        <f>(Tabla2926[[#This Row],[Columna4]]*EB$5/$DN$5)*$DV$4</f>
        <v>#DIV/0!</v>
      </c>
      <c r="EC12" s="303" t="e">
        <f>(Tabla2926[[#This Row],[Columna4]]*EC$5/$DN$5)*$DV$4</f>
        <v>#DIV/0!</v>
      </c>
      <c r="ED12" s="303" t="e">
        <f>(Tabla2926[[#This Row],[Columna4]]*ED$5/$DN$5)*$DV$4</f>
        <v>#DIV/0!</v>
      </c>
      <c r="EE12" s="303" t="e">
        <f>(Tabla2926[[#This Row],[Columna4]]*EE$5/$DN$5)*$DV$4</f>
        <v>#DIV/0!</v>
      </c>
      <c r="EF12" s="303" t="e">
        <f>(Tabla2926[[#This Row],[Columna4]]*EF$5/$DN$5)*$DV$4</f>
        <v>#DIV/0!</v>
      </c>
      <c r="EG12" s="303" t="e">
        <f>(Tabla2926[[#This Row],[Columna4]]*EG$5/$DN$5)*$DV$4</f>
        <v>#DIV/0!</v>
      </c>
      <c r="EH12" s="303" t="e">
        <f>(Tabla2926[[#This Row],[Columna4]]*EH$5/$DN$5)*$DV$4</f>
        <v>#DIV/0!</v>
      </c>
      <c r="EJ12" s="524"/>
      <c r="EK12" s="524"/>
      <c r="EL12" s="298" t="e">
        <f>$AS$10</f>
        <v>#DIV/0!</v>
      </c>
      <c r="EM12" s="242" t="str">
        <f>Tabla2[[#This Row],[Columna1]]</f>
        <v>C5</v>
      </c>
      <c r="EN12" s="303" t="e">
        <f>Tabla29268[[#This Row],[Columna3]]/7</f>
        <v>#DIV/0!</v>
      </c>
      <c r="EO12" s="303" t="e">
        <f>Tabla29268[[#This Row],[Columna4]]/4.2</f>
        <v>#DIV/0!</v>
      </c>
      <c r="EP12" s="303" t="e">
        <f>Tabla2926[[#This Row],[Columna16]]</f>
        <v>#DIV/0!</v>
      </c>
      <c r="EQ12" s="303" t="e">
        <f>(Tabla29268[[#This Row],[Columna4]]*EQ$5/$EH$5)*$EP$4</f>
        <v>#DIV/0!</v>
      </c>
      <c r="ER12" s="303" t="e">
        <f>(Tabla29268[[#This Row],[Columna4]]*ER$5/$EH$5)*$EP$4</f>
        <v>#DIV/0!</v>
      </c>
      <c r="ES12" s="303" t="e">
        <f>(Tabla29268[[#This Row],[Columna4]]*ES$5/$EH$5)*$EP$4</f>
        <v>#DIV/0!</v>
      </c>
      <c r="ET12" s="303" t="e">
        <f>(Tabla29268[[#This Row],[Columna4]]*ET$5/$EH$5)*$EP$4</f>
        <v>#DIV/0!</v>
      </c>
      <c r="EU12" s="303" t="e">
        <f>(Tabla29268[[#This Row],[Columna4]]*EU$5/$EH$5)*$EP$4</f>
        <v>#DIV/0!</v>
      </c>
      <c r="EV12" s="303" t="e">
        <f>(Tabla29268[[#This Row],[Columna4]]*EV$5/$EH$5)*$EP$4</f>
        <v>#DIV/0!</v>
      </c>
      <c r="EW12" s="303" t="e">
        <f>(Tabla29268[[#This Row],[Columna4]]*EW$5/$EH$5)*$EP$4</f>
        <v>#DIV/0!</v>
      </c>
      <c r="EX12" s="303" t="e">
        <f>(Tabla29268[[#This Row],[Columna4]]*EX$5/$EH$5)*$EP$4</f>
        <v>#DIV/0!</v>
      </c>
      <c r="EY12" s="303" t="e">
        <f>(Tabla29268[[#This Row],[Columna4]]*EY$5/$EH$5)*$EP$4</f>
        <v>#DIV/0!</v>
      </c>
      <c r="EZ12" s="303" t="e">
        <f>(Tabla29268[[#This Row],[Columna4]]*EZ$5/$EH$5)*$EP$4</f>
        <v>#DIV/0!</v>
      </c>
      <c r="FA12" s="303" t="e">
        <f>(Tabla29268[[#This Row],[Columna4]]*FA$5/$EH$5)*$EP$4</f>
        <v>#DIV/0!</v>
      </c>
      <c r="FB12" s="303" t="e">
        <f>(Tabla29268[[#This Row],[Columna4]]*FB$5/$EH$5)*$EP$4</f>
        <v>#DIV/0!</v>
      </c>
      <c r="FE12" s="307" t="s">
        <v>280</v>
      </c>
      <c r="FF12" s="355" t="e">
        <f>FF32</f>
        <v>#DIV/0!</v>
      </c>
      <c r="FG12" s="355" t="e">
        <f t="shared" ref="FG12:FQ12" si="68">FG32</f>
        <v>#DIV/0!</v>
      </c>
      <c r="FH12" s="355" t="e">
        <f t="shared" si="68"/>
        <v>#DIV/0!</v>
      </c>
      <c r="FI12" s="355" t="e">
        <f t="shared" si="68"/>
        <v>#DIV/0!</v>
      </c>
      <c r="FJ12" s="355" t="e">
        <f t="shared" si="68"/>
        <v>#DIV/0!</v>
      </c>
      <c r="FK12" s="355" t="e">
        <f t="shared" si="68"/>
        <v>#DIV/0!</v>
      </c>
      <c r="FL12" s="355" t="e">
        <f t="shared" si="68"/>
        <v>#DIV/0!</v>
      </c>
      <c r="FM12" s="355" t="e">
        <f t="shared" si="68"/>
        <v>#DIV/0!</v>
      </c>
      <c r="FN12" s="355" t="e">
        <f t="shared" si="68"/>
        <v>#DIV/0!</v>
      </c>
      <c r="FO12" s="355" t="e">
        <f t="shared" si="68"/>
        <v>#DIV/0!</v>
      </c>
      <c r="FP12" s="355" t="e">
        <f t="shared" si="68"/>
        <v>#DIV/0!</v>
      </c>
      <c r="FQ12" s="355" t="e">
        <f t="shared" si="68"/>
        <v>#DIV/0!</v>
      </c>
      <c r="FR12" s="355" t="e">
        <f>SUM(FF12:FQ12)</f>
        <v>#DIV/0!</v>
      </c>
      <c r="FS12" s="260" t="e">
        <f>FR12/$FR$6</f>
        <v>#DIV/0!</v>
      </c>
      <c r="FV12" s="307" t="s">
        <v>280</v>
      </c>
      <c r="FW12" s="355" t="e">
        <f>(FF12*(1+GH4+GH3+GD4))+(FW8*(GD3+GD2))</f>
        <v>#DIV/0!</v>
      </c>
      <c r="FX12" s="355" t="e">
        <f>(FG12*(1+GH4+GH3+GD4))+(FX8*(GD3+GD2))</f>
        <v>#DIV/0!</v>
      </c>
      <c r="FY12" s="355" t="e">
        <f>(FH12*(1+GH4+GH3+GD4))+(FY8*(GD3+GD2))</f>
        <v>#DIV/0!</v>
      </c>
      <c r="FZ12" s="355" t="e">
        <f>(FI12*(1+GH4+GH3+GD4))+(FZ8*(GD3+GD2))</f>
        <v>#DIV/0!</v>
      </c>
      <c r="GA12" s="355" t="e">
        <f>(FJ12*(1+GH4+GH3+GD4))+(GA8*(GD3+GD2))</f>
        <v>#DIV/0!</v>
      </c>
      <c r="GB12" s="355" t="e">
        <f>(FK12*(1+GH4+GH3+GD4))+(GB8*(GD3+GD2))</f>
        <v>#DIV/0!</v>
      </c>
      <c r="GC12" s="355" t="e">
        <f>(FL12*(1+GH4+GH3+GD4))+(GC8*(GD3+GD2))</f>
        <v>#DIV/0!</v>
      </c>
      <c r="GD12" s="355" t="e">
        <f>(FM12*(1+GH4+GH3+GD4))+(GD8*(GD3+GD2))</f>
        <v>#DIV/0!</v>
      </c>
      <c r="GE12" s="355" t="e">
        <f>(FN12*(1+GH4+GH3+GD4))+(GE8*(GD3+GD2))</f>
        <v>#DIV/0!</v>
      </c>
      <c r="GF12" s="355" t="e">
        <f>(FO12*(1+GH4+GH3+GD4))+(GF8*(GD3+GD2))</f>
        <v>#DIV/0!</v>
      </c>
      <c r="GG12" s="355" t="e">
        <f>(FP12*(1+GH4+GH3+GD4))+(GG8*(GD3+GD2))</f>
        <v>#DIV/0!</v>
      </c>
      <c r="GH12" s="355" t="e">
        <f>(FQ12*(1+GH4+GH3+GD4))+(GH8*(GD3+GD2))</f>
        <v>#DIV/0!</v>
      </c>
      <c r="GI12" s="355" t="e">
        <f>SUM(FW12:GH12)</f>
        <v>#DIV/0!</v>
      </c>
      <c r="GJ12" s="262" t="e">
        <f t="shared" ref="GJ12:GJ13" si="69">GI12/$GI$6</f>
        <v>#DIV/0!</v>
      </c>
      <c r="GL12" s="250">
        <f>GL11+1</f>
        <v>5</v>
      </c>
      <c r="GM12" s="352" t="s">
        <v>457</v>
      </c>
      <c r="GN12" s="353" t="e">
        <f>GN7*$HA$12</f>
        <v>#DIV/0!</v>
      </c>
      <c r="GO12" s="353" t="e">
        <f t="shared" ref="GO12:GY12" si="70">GO7*$HA$12</f>
        <v>#DIV/0!</v>
      </c>
      <c r="GP12" s="353" t="e">
        <f t="shared" si="70"/>
        <v>#DIV/0!</v>
      </c>
      <c r="GQ12" s="353" t="e">
        <f t="shared" si="70"/>
        <v>#DIV/0!</v>
      </c>
      <c r="GR12" s="353" t="e">
        <f t="shared" si="70"/>
        <v>#DIV/0!</v>
      </c>
      <c r="GS12" s="353" t="e">
        <f t="shared" si="70"/>
        <v>#DIV/0!</v>
      </c>
      <c r="GT12" s="353" t="e">
        <f t="shared" si="70"/>
        <v>#DIV/0!</v>
      </c>
      <c r="GU12" s="353" t="e">
        <f t="shared" si="70"/>
        <v>#DIV/0!</v>
      </c>
      <c r="GV12" s="353" t="e">
        <f t="shared" si="70"/>
        <v>#DIV/0!</v>
      </c>
      <c r="GW12" s="353" t="e">
        <f t="shared" si="70"/>
        <v>#DIV/0!</v>
      </c>
      <c r="GX12" s="353" t="e">
        <f t="shared" si="70"/>
        <v>#DIV/0!</v>
      </c>
      <c r="GY12" s="353" t="e">
        <f t="shared" si="70"/>
        <v>#DIV/0!</v>
      </c>
      <c r="GZ12" s="328" t="e">
        <f>SUM(GN12:GY12)</f>
        <v>#DIV/0!</v>
      </c>
      <c r="HA12" s="329" t="e">
        <f>FS106</f>
        <v>#DIV/0!</v>
      </c>
      <c r="HD12" s="55" t="s">
        <v>518</v>
      </c>
      <c r="HE12" s="56" t="s">
        <v>519</v>
      </c>
      <c r="HF12" s="518" t="s">
        <v>520</v>
      </c>
      <c r="HG12" s="519"/>
      <c r="HH12" s="56" t="s">
        <v>514</v>
      </c>
      <c r="HI12" s="51"/>
      <c r="HJ12" s="143"/>
      <c r="HM12" s="356"/>
      <c r="HN12" s="316"/>
      <c r="HO12" s="285"/>
      <c r="HP12" s="316"/>
      <c r="HQ12" s="285"/>
      <c r="HR12" s="316"/>
      <c r="HS12" s="285"/>
      <c r="HT12" s="316"/>
      <c r="HU12" s="285"/>
      <c r="HV12" s="316"/>
      <c r="HW12" s="285"/>
      <c r="HX12" s="316"/>
      <c r="HY12" s="285"/>
      <c r="HZ12" s="316"/>
      <c r="IA12" s="285"/>
      <c r="IB12" s="316"/>
      <c r="IC12" s="285"/>
      <c r="ID12" s="316"/>
      <c r="IE12" s="285"/>
      <c r="IF12" s="316"/>
      <c r="IG12" s="285"/>
      <c r="IH12" s="316"/>
      <c r="II12" s="285"/>
      <c r="IJ12" s="316"/>
      <c r="IK12" s="285"/>
      <c r="IL12" s="316"/>
      <c r="IM12" s="285"/>
    </row>
    <row r="13" spans="2:247" ht="14.4" customHeight="1" x14ac:dyDescent="0.3">
      <c r="C13" s="44" t="s">
        <v>572</v>
      </c>
      <c r="D13" s="155">
        <f>Inversionista!P120</f>
        <v>0.08</v>
      </c>
      <c r="H13" s="44" t="s">
        <v>497</v>
      </c>
      <c r="I13" s="41">
        <f>J13*$D$19</f>
        <v>0</v>
      </c>
      <c r="J13" s="42">
        <f>D44/D19</f>
        <v>0</v>
      </c>
      <c r="K13" s="111" t="e">
        <f>I13/J13</f>
        <v>#DIV/0!</v>
      </c>
      <c r="L13" s="16">
        <v>0.1</v>
      </c>
      <c r="M13" s="13" t="s">
        <v>320</v>
      </c>
      <c r="P13" s="14" t="s">
        <v>337</v>
      </c>
      <c r="Q13" s="48">
        <f>0.6*0.75</f>
        <v>0.44999999999999996</v>
      </c>
      <c r="R13" s="13" t="s">
        <v>341</v>
      </c>
      <c r="W13" s="336" t="str">
        <f t="shared" si="53"/>
        <v>Septiembre</v>
      </c>
      <c r="X13" s="335" t="e">
        <f t="shared" si="67"/>
        <v>#DIV/0!</v>
      </c>
      <c r="Y13" s="336" t="s">
        <v>7</v>
      </c>
      <c r="Z13" s="337">
        <f t="shared" si="47"/>
        <v>0</v>
      </c>
      <c r="AA13" s="338">
        <f t="shared" si="18"/>
        <v>0</v>
      </c>
      <c r="AB13" s="339">
        <f t="shared" si="48"/>
        <v>0</v>
      </c>
      <c r="AC13" s="339">
        <f t="shared" si="37"/>
        <v>0</v>
      </c>
      <c r="AD13" s="340">
        <f t="shared" si="38"/>
        <v>1</v>
      </c>
      <c r="AE13" s="341">
        <f t="shared" si="39"/>
        <v>0</v>
      </c>
      <c r="AF13" s="342">
        <f t="shared" si="49"/>
        <v>0</v>
      </c>
      <c r="AG13" s="343">
        <f t="shared" si="40"/>
        <v>0</v>
      </c>
      <c r="AH13" s="344">
        <f t="shared" si="41"/>
        <v>0</v>
      </c>
      <c r="AI13" s="338">
        <f t="shared" si="42"/>
        <v>0</v>
      </c>
      <c r="AJ13" s="345" t="e">
        <f t="shared" si="43"/>
        <v>#DIV/0!</v>
      </c>
      <c r="AK13" s="346" t="e">
        <f t="shared" si="44"/>
        <v>#DIV/0!</v>
      </c>
      <c r="AM13" s="348">
        <f t="shared" si="5"/>
        <v>0</v>
      </c>
      <c r="AN13" s="348">
        <f t="shared" si="6"/>
        <v>0</v>
      </c>
      <c r="AO13" s="348">
        <f t="shared" si="7"/>
        <v>0</v>
      </c>
      <c r="AP13" s="348">
        <f t="shared" si="8"/>
        <v>0</v>
      </c>
      <c r="AQ13" s="349" t="s">
        <v>776</v>
      </c>
      <c r="AR13" s="297">
        <f t="shared" si="9"/>
        <v>0</v>
      </c>
      <c r="AS13" s="350" t="e">
        <f t="shared" si="2"/>
        <v>#DIV/0!</v>
      </c>
      <c r="AT13" s="530"/>
      <c r="AU13" s="530"/>
      <c r="AV13" s="299">
        <v>0</v>
      </c>
      <c r="AW13" s="300">
        <v>0</v>
      </c>
      <c r="AX13" s="301"/>
      <c r="AY13" s="302" t="str">
        <f t="shared" si="10"/>
        <v>Noviembre</v>
      </c>
      <c r="AZ13" s="303">
        <f>Tabla2[[#Totals],[Columna12]]</f>
        <v>0</v>
      </c>
      <c r="BA13" s="303" t="e">
        <f>Tabla29[[#Totals],[Columna12]]</f>
        <v>#DIV/0!</v>
      </c>
      <c r="BB13" s="303" t="e">
        <f>Tabla292[[#Totals],[Columna12]]</f>
        <v>#DIV/0!</v>
      </c>
      <c r="BC13" s="303" t="e">
        <f>Tabla2926[[#Totals],[Columna12]]</f>
        <v>#DIV/0!</v>
      </c>
      <c r="BD13" s="303" t="e">
        <f>Tabla29268[[#Totals],[Columna12]]</f>
        <v>#DIV/0!</v>
      </c>
      <c r="BE13" s="304" t="e">
        <f t="shared" si="11"/>
        <v>#DIV/0!</v>
      </c>
      <c r="BF13" s="305" t="e">
        <f t="shared" si="12"/>
        <v>#DIV/0!</v>
      </c>
      <c r="BH13" s="530" t="s">
        <v>306</v>
      </c>
      <c r="BI13" s="530" t="e">
        <f>SUM(BJ13:BJ17)</f>
        <v>#DIV/0!</v>
      </c>
      <c r="BJ13" s="350" t="e">
        <f>$AS$11</f>
        <v>#DIV/0!</v>
      </c>
      <c r="BK13" s="242" t="str">
        <f t="shared" si="19"/>
        <v>C6</v>
      </c>
      <c r="BL13" s="303">
        <f t="shared" si="20"/>
        <v>0</v>
      </c>
      <c r="BM13" s="303">
        <f t="shared" si="20"/>
        <v>0</v>
      </c>
      <c r="BN13" s="303">
        <f t="shared" si="20"/>
        <v>0</v>
      </c>
      <c r="BO13" s="303">
        <f t="shared" si="21"/>
        <v>0</v>
      </c>
      <c r="BP13" s="303">
        <f t="shared" si="22"/>
        <v>0</v>
      </c>
      <c r="BQ13" s="303">
        <f t="shared" si="23"/>
        <v>0</v>
      </c>
      <c r="BR13" s="303">
        <f t="shared" si="24"/>
        <v>0</v>
      </c>
      <c r="BS13" s="303">
        <f t="shared" si="25"/>
        <v>0</v>
      </c>
      <c r="BT13" s="303">
        <f t="shared" si="26"/>
        <v>0</v>
      </c>
      <c r="BU13" s="303">
        <f t="shared" si="27"/>
        <v>0</v>
      </c>
      <c r="BV13" s="303">
        <f t="shared" si="28"/>
        <v>0</v>
      </c>
      <c r="BW13" s="303">
        <f t="shared" si="29"/>
        <v>0</v>
      </c>
      <c r="BX13" s="303">
        <f t="shared" si="30"/>
        <v>0</v>
      </c>
      <c r="BY13" s="303">
        <f t="shared" si="31"/>
        <v>0</v>
      </c>
      <c r="BZ13" s="303">
        <f t="shared" si="32"/>
        <v>0</v>
      </c>
      <c r="CB13" s="530" t="s">
        <v>306</v>
      </c>
      <c r="CC13" s="530" t="e">
        <f>SUM(CD13:CD17)</f>
        <v>#DIV/0!</v>
      </c>
      <c r="CD13" s="350" t="e">
        <f>$AS$11</f>
        <v>#DIV/0!</v>
      </c>
      <c r="CE13" s="242" t="str">
        <f>Tabla2[[#This Row],[Columna1]]</f>
        <v>C6</v>
      </c>
      <c r="CF13" s="303">
        <f>Tabla29[[#This Row],[Columna3]]/7</f>
        <v>0</v>
      </c>
      <c r="CG13" s="303">
        <f>Tabla29[[#This Row],[Columna4]]/4.2</f>
        <v>0</v>
      </c>
      <c r="CH13" s="303">
        <f>Tabla2[[#This Row],[Columna16]]</f>
        <v>0</v>
      </c>
      <c r="CI13" s="303" t="e">
        <f>(Tabla29[[#This Row],[Columna4]]*CI$5/$BZ$5)*$CH$4</f>
        <v>#DIV/0!</v>
      </c>
      <c r="CJ13" s="303" t="e">
        <f>(Tabla29[[#This Row],[Columna4]]*CJ$5/$BZ$5)*$CH$4</f>
        <v>#DIV/0!</v>
      </c>
      <c r="CK13" s="303" t="e">
        <f>(Tabla29[[#This Row],[Columna4]]*CK$5/$BZ$5)*$CH$4</f>
        <v>#DIV/0!</v>
      </c>
      <c r="CL13" s="303" t="e">
        <f>(Tabla29[[#This Row],[Columna4]]*CL$5/$BZ$5)*$CH$4</f>
        <v>#DIV/0!</v>
      </c>
      <c r="CM13" s="303" t="e">
        <f>(Tabla29[[#This Row],[Columna4]]*CM$5/$BZ$5)*$CH$4</f>
        <v>#DIV/0!</v>
      </c>
      <c r="CN13" s="303" t="e">
        <f>(Tabla29[[#This Row],[Columna4]]*CN$5/$BZ$5)*$CH$4</f>
        <v>#DIV/0!</v>
      </c>
      <c r="CO13" s="303" t="e">
        <f>(Tabla29[[#This Row],[Columna4]]*CO$5/$BZ$5)*$CH$4</f>
        <v>#DIV/0!</v>
      </c>
      <c r="CP13" s="303" t="e">
        <f>(Tabla29[[#This Row],[Columna4]]*CP$5/$BZ$5)*$CH$4</f>
        <v>#DIV/0!</v>
      </c>
      <c r="CQ13" s="303" t="e">
        <f>(Tabla29[[#This Row],[Columna4]]*CQ$5/$BZ$5)*$CH$4</f>
        <v>#DIV/0!</v>
      </c>
      <c r="CR13" s="303" t="e">
        <f>(Tabla29[[#This Row],[Columna4]]*CR$5/$BZ$5)*$CH$4</f>
        <v>#DIV/0!</v>
      </c>
      <c r="CS13" s="303" t="e">
        <f>(Tabla29[[#This Row],[Columna4]]*CS$5/$BZ$5)*$CH$4</f>
        <v>#DIV/0!</v>
      </c>
      <c r="CT13" s="303" t="e">
        <f>(Tabla29[[#This Row],[Columna4]]*CT$5/$BZ$5)*$CH$4</f>
        <v>#DIV/0!</v>
      </c>
      <c r="CV13" s="530" t="s">
        <v>306</v>
      </c>
      <c r="CW13" s="530" t="e">
        <f>SUM(CX13:CX17)</f>
        <v>#DIV/0!</v>
      </c>
      <c r="CX13" s="350" t="e">
        <f>$AS$11</f>
        <v>#DIV/0!</v>
      </c>
      <c r="CY13" s="242" t="str">
        <f>Tabla2[[#This Row],[Columna1]]</f>
        <v>C6</v>
      </c>
      <c r="CZ13" s="303" t="e">
        <f>Tabla292[[#This Row],[Columna3]]/7</f>
        <v>#DIV/0!</v>
      </c>
      <c r="DA13" s="303" t="e">
        <f>Tabla292[[#This Row],[Columna4]]/4.2</f>
        <v>#DIV/0!</v>
      </c>
      <c r="DB13" s="303" t="e">
        <f>Tabla29[[#This Row],[Columna16]]</f>
        <v>#DIV/0!</v>
      </c>
      <c r="DC13" s="303" t="e">
        <f>(Tabla292[[#This Row],[Columna4]]*DC$5/$CT$5)*$DB$4</f>
        <v>#DIV/0!</v>
      </c>
      <c r="DD13" s="303" t="e">
        <f>(Tabla292[[#This Row],[Columna4]]*DD$5/$CT$5)*$DB$4</f>
        <v>#DIV/0!</v>
      </c>
      <c r="DE13" s="303" t="e">
        <f>(Tabla292[[#This Row],[Columna4]]*DE$5/$CT$5)*$DB$4</f>
        <v>#DIV/0!</v>
      </c>
      <c r="DF13" s="303" t="e">
        <f>(Tabla292[[#This Row],[Columna4]]*DF$5/$CT$5)*$DB$4</f>
        <v>#DIV/0!</v>
      </c>
      <c r="DG13" s="303" t="e">
        <f>(Tabla292[[#This Row],[Columna4]]*DG$5/$CT$5)*$DB$4</f>
        <v>#DIV/0!</v>
      </c>
      <c r="DH13" s="303" t="e">
        <f>(Tabla292[[#This Row],[Columna4]]*DH$5/$CT$5)*$DB$4</f>
        <v>#DIV/0!</v>
      </c>
      <c r="DI13" s="303" t="e">
        <f>(Tabla292[[#This Row],[Columna4]]*DI$5/$CT$5)*$DB$4</f>
        <v>#DIV/0!</v>
      </c>
      <c r="DJ13" s="303" t="e">
        <f>(Tabla292[[#This Row],[Columna4]]*DJ$5/$CT$5)*$DB$4</f>
        <v>#DIV/0!</v>
      </c>
      <c r="DK13" s="303" t="e">
        <f>(Tabla292[[#This Row],[Columna4]]*DK$5/$CT$5)*$DB$4</f>
        <v>#DIV/0!</v>
      </c>
      <c r="DL13" s="303" t="e">
        <f>(Tabla292[[#This Row],[Columna4]]*DL$5/$CT$5)*$DB$4</f>
        <v>#DIV/0!</v>
      </c>
      <c r="DM13" s="303" t="e">
        <f>(Tabla292[[#This Row],[Columna4]]*DM$5/$CT$5)*$DB$4</f>
        <v>#DIV/0!</v>
      </c>
      <c r="DN13" s="303" t="e">
        <f>(Tabla292[[#This Row],[Columna4]]*DN$5/$CT$5)*$DB$4</f>
        <v>#DIV/0!</v>
      </c>
      <c r="DP13" s="530" t="s">
        <v>306</v>
      </c>
      <c r="DQ13" s="530" t="e">
        <f>SUM(DR13:DR17)</f>
        <v>#DIV/0!</v>
      </c>
      <c r="DR13" s="350" t="e">
        <f>$AS$11</f>
        <v>#DIV/0!</v>
      </c>
      <c r="DS13" s="242" t="str">
        <f>Tabla2[[#This Row],[Columna1]]</f>
        <v>C6</v>
      </c>
      <c r="DT13" s="303" t="e">
        <f>Tabla2926[[#This Row],[Columna3]]/7</f>
        <v>#DIV/0!</v>
      </c>
      <c r="DU13" s="303" t="e">
        <f>Tabla2926[[#This Row],[Columna4]]/4.2</f>
        <v>#DIV/0!</v>
      </c>
      <c r="DV13" s="303" t="e">
        <f>Tabla292[[#This Row],[Columna16]]</f>
        <v>#DIV/0!</v>
      </c>
      <c r="DW13" s="303" t="e">
        <f>(Tabla2926[[#This Row],[Columna4]]*DW$5/$DN$5)*$DV$4</f>
        <v>#DIV/0!</v>
      </c>
      <c r="DX13" s="303" t="e">
        <f>(Tabla2926[[#This Row],[Columna4]]*DX$5/$DN$5)*$DV$4</f>
        <v>#DIV/0!</v>
      </c>
      <c r="DY13" s="303" t="e">
        <f>(Tabla2926[[#This Row],[Columna4]]*DY$5/$DN$5)*$DV$4</f>
        <v>#DIV/0!</v>
      </c>
      <c r="DZ13" s="303" t="e">
        <f>(Tabla2926[[#This Row],[Columna4]]*DZ$5/$DN$5)*$DV$4</f>
        <v>#DIV/0!</v>
      </c>
      <c r="EA13" s="303" t="e">
        <f>(Tabla2926[[#This Row],[Columna4]]*EA$5/$DN$5)*$DV$4</f>
        <v>#DIV/0!</v>
      </c>
      <c r="EB13" s="303" t="e">
        <f>(Tabla2926[[#This Row],[Columna4]]*EB$5/$DN$5)*$DV$4</f>
        <v>#DIV/0!</v>
      </c>
      <c r="EC13" s="303" t="e">
        <f>(Tabla2926[[#This Row],[Columna4]]*EC$5/$DN$5)*$DV$4</f>
        <v>#DIV/0!</v>
      </c>
      <c r="ED13" s="303" t="e">
        <f>(Tabla2926[[#This Row],[Columna4]]*ED$5/$DN$5)*$DV$4</f>
        <v>#DIV/0!</v>
      </c>
      <c r="EE13" s="303" t="e">
        <f>(Tabla2926[[#This Row],[Columna4]]*EE$5/$DN$5)*$DV$4</f>
        <v>#DIV/0!</v>
      </c>
      <c r="EF13" s="303" t="e">
        <f>(Tabla2926[[#This Row],[Columna4]]*EF$5/$DN$5)*$DV$4</f>
        <v>#DIV/0!</v>
      </c>
      <c r="EG13" s="303" t="e">
        <f>(Tabla2926[[#This Row],[Columna4]]*EG$5/$DN$5)*$DV$4</f>
        <v>#DIV/0!</v>
      </c>
      <c r="EH13" s="303" t="e">
        <f>(Tabla2926[[#This Row],[Columna4]]*EH$5/$DN$5)*$DV$4</f>
        <v>#DIV/0!</v>
      </c>
      <c r="EJ13" s="530" t="s">
        <v>306</v>
      </c>
      <c r="EK13" s="530" t="e">
        <f>SUM(EL13:EL17)</f>
        <v>#DIV/0!</v>
      </c>
      <c r="EL13" s="350" t="e">
        <f>$AS$11</f>
        <v>#DIV/0!</v>
      </c>
      <c r="EM13" s="242" t="str">
        <f>Tabla2[[#This Row],[Columna1]]</f>
        <v>C6</v>
      </c>
      <c r="EN13" s="303" t="e">
        <f>Tabla29268[[#This Row],[Columna3]]/7</f>
        <v>#DIV/0!</v>
      </c>
      <c r="EO13" s="303" t="e">
        <f>Tabla29268[[#This Row],[Columna4]]/4.2</f>
        <v>#DIV/0!</v>
      </c>
      <c r="EP13" s="303" t="e">
        <f>Tabla2926[[#This Row],[Columna16]]</f>
        <v>#DIV/0!</v>
      </c>
      <c r="EQ13" s="303" t="e">
        <f>(Tabla29268[[#This Row],[Columna4]]*EQ$5/$EH$5)*$EP$4</f>
        <v>#DIV/0!</v>
      </c>
      <c r="ER13" s="303" t="e">
        <f>(Tabla29268[[#This Row],[Columna4]]*ER$5/$EH$5)*$EP$4</f>
        <v>#DIV/0!</v>
      </c>
      <c r="ES13" s="303" t="e">
        <f>(Tabla29268[[#This Row],[Columna4]]*ES$5/$EH$5)*$EP$4</f>
        <v>#DIV/0!</v>
      </c>
      <c r="ET13" s="303" t="e">
        <f>(Tabla29268[[#This Row],[Columna4]]*ET$5/$EH$5)*$EP$4</f>
        <v>#DIV/0!</v>
      </c>
      <c r="EU13" s="303" t="e">
        <f>(Tabla29268[[#This Row],[Columna4]]*EU$5/$EH$5)*$EP$4</f>
        <v>#DIV/0!</v>
      </c>
      <c r="EV13" s="303" t="e">
        <f>(Tabla29268[[#This Row],[Columna4]]*EV$5/$EH$5)*$EP$4</f>
        <v>#DIV/0!</v>
      </c>
      <c r="EW13" s="303" t="e">
        <f>(Tabla29268[[#This Row],[Columna4]]*EW$5/$EH$5)*$EP$4</f>
        <v>#DIV/0!</v>
      </c>
      <c r="EX13" s="303" t="e">
        <f>(Tabla29268[[#This Row],[Columna4]]*EX$5/$EH$5)*$EP$4</f>
        <v>#DIV/0!</v>
      </c>
      <c r="EY13" s="303" t="e">
        <f>(Tabla29268[[#This Row],[Columna4]]*EY$5/$EH$5)*$EP$4</f>
        <v>#DIV/0!</v>
      </c>
      <c r="EZ13" s="303" t="e">
        <f>(Tabla29268[[#This Row],[Columna4]]*EZ$5/$EH$5)*$EP$4</f>
        <v>#DIV/0!</v>
      </c>
      <c r="FA13" s="303" t="e">
        <f>(Tabla29268[[#This Row],[Columna4]]*FA$5/$EH$5)*$EP$4</f>
        <v>#DIV/0!</v>
      </c>
      <c r="FB13" s="303" t="e">
        <f>(Tabla29268[[#This Row],[Columna4]]*FB$5/$EH$5)*$EP$4</f>
        <v>#DIV/0!</v>
      </c>
      <c r="FE13" s="357" t="s">
        <v>449</v>
      </c>
      <c r="FF13" s="358" t="e">
        <f>FF156</f>
        <v>#DIV/0!</v>
      </c>
      <c r="FG13" s="358" t="e">
        <f t="shared" ref="FG13:FQ13" si="71">FG156</f>
        <v>#DIV/0!</v>
      </c>
      <c r="FH13" s="358" t="e">
        <f t="shared" si="71"/>
        <v>#DIV/0!</v>
      </c>
      <c r="FI13" s="358" t="e">
        <f t="shared" si="71"/>
        <v>#DIV/0!</v>
      </c>
      <c r="FJ13" s="358" t="e">
        <f t="shared" si="71"/>
        <v>#DIV/0!</v>
      </c>
      <c r="FK13" s="358" t="e">
        <f t="shared" si="71"/>
        <v>#DIV/0!</v>
      </c>
      <c r="FL13" s="358" t="e">
        <f t="shared" si="71"/>
        <v>#DIV/0!</v>
      </c>
      <c r="FM13" s="358" t="e">
        <f t="shared" si="71"/>
        <v>#DIV/0!</v>
      </c>
      <c r="FN13" s="358" t="e">
        <f t="shared" si="71"/>
        <v>#DIV/0!</v>
      </c>
      <c r="FO13" s="358" t="e">
        <f t="shared" si="71"/>
        <v>#DIV/0!</v>
      </c>
      <c r="FP13" s="358" t="e">
        <f t="shared" si="71"/>
        <v>#DIV/0!</v>
      </c>
      <c r="FQ13" s="358" t="e">
        <f t="shared" si="71"/>
        <v>#DIV/0!</v>
      </c>
      <c r="FR13" s="359" t="e">
        <f>SUM(FF13:FQ13)</f>
        <v>#DIV/0!</v>
      </c>
      <c r="FS13" s="260" t="e">
        <f>FR13/$FR$6</f>
        <v>#DIV/0!</v>
      </c>
      <c r="FV13" s="357" t="s">
        <v>449</v>
      </c>
      <c r="FW13" s="358" t="e">
        <f>FW10-FW12</f>
        <v>#DIV/0!</v>
      </c>
      <c r="FX13" s="358" t="e">
        <f t="shared" ref="FX13:GH13" si="72">FX10-FX12</f>
        <v>#DIV/0!</v>
      </c>
      <c r="FY13" s="358" t="e">
        <f t="shared" si="72"/>
        <v>#DIV/0!</v>
      </c>
      <c r="FZ13" s="358" t="e">
        <f t="shared" si="72"/>
        <v>#DIV/0!</v>
      </c>
      <c r="GA13" s="358" t="e">
        <f t="shared" si="72"/>
        <v>#DIV/0!</v>
      </c>
      <c r="GB13" s="358" t="e">
        <f t="shared" si="72"/>
        <v>#DIV/0!</v>
      </c>
      <c r="GC13" s="358" t="e">
        <f t="shared" si="72"/>
        <v>#DIV/0!</v>
      </c>
      <c r="GD13" s="358" t="e">
        <f t="shared" si="72"/>
        <v>#DIV/0!</v>
      </c>
      <c r="GE13" s="358" t="e">
        <f t="shared" si="72"/>
        <v>#DIV/0!</v>
      </c>
      <c r="GF13" s="358" t="e">
        <f t="shared" si="72"/>
        <v>#DIV/0!</v>
      </c>
      <c r="GG13" s="358" t="e">
        <f t="shared" si="72"/>
        <v>#DIV/0!</v>
      </c>
      <c r="GH13" s="358" t="e">
        <f t="shared" si="72"/>
        <v>#DIV/0!</v>
      </c>
      <c r="GI13" s="309" t="e">
        <f>SUM(FW13:GH13)</f>
        <v>#DIV/0!</v>
      </c>
      <c r="GJ13" s="262" t="e">
        <f t="shared" si="69"/>
        <v>#DIV/0!</v>
      </c>
      <c r="GL13" s="250">
        <f>GL12+1</f>
        <v>6</v>
      </c>
      <c r="GM13" s="352" t="s">
        <v>458</v>
      </c>
      <c r="GN13" s="353">
        <f>FF154</f>
        <v>0</v>
      </c>
      <c r="GO13" s="353">
        <f t="shared" ref="GO13:GY13" si="73">FG154</f>
        <v>0</v>
      </c>
      <c r="GP13" s="353">
        <f t="shared" si="73"/>
        <v>0</v>
      </c>
      <c r="GQ13" s="353">
        <f t="shared" si="73"/>
        <v>0</v>
      </c>
      <c r="GR13" s="353">
        <f t="shared" si="73"/>
        <v>0</v>
      </c>
      <c r="GS13" s="353">
        <f t="shared" si="73"/>
        <v>0</v>
      </c>
      <c r="GT13" s="353">
        <f t="shared" si="73"/>
        <v>0</v>
      </c>
      <c r="GU13" s="353">
        <f t="shared" si="73"/>
        <v>0</v>
      </c>
      <c r="GV13" s="353">
        <f t="shared" si="73"/>
        <v>0</v>
      </c>
      <c r="GW13" s="353">
        <f t="shared" si="73"/>
        <v>0</v>
      </c>
      <c r="GX13" s="353">
        <f t="shared" si="73"/>
        <v>0</v>
      </c>
      <c r="GY13" s="353">
        <f t="shared" si="73"/>
        <v>0</v>
      </c>
      <c r="GZ13" s="328">
        <f>SUM(GN13:GY13)</f>
        <v>0</v>
      </c>
      <c r="HA13" s="329" t="e">
        <f t="shared" si="55"/>
        <v>#DIV/0!</v>
      </c>
      <c r="HD13" s="520" t="s">
        <v>521</v>
      </c>
      <c r="HE13" s="521"/>
      <c r="HF13" s="521"/>
      <c r="HG13" s="521"/>
      <c r="HH13" s="521"/>
      <c r="HI13" s="137" t="s">
        <v>522</v>
      </c>
      <c r="HJ13" s="146"/>
      <c r="HM13" s="330" t="s">
        <v>586</v>
      </c>
      <c r="HN13" s="360">
        <v>0</v>
      </c>
      <c r="HO13" s="332" t="e">
        <f>HN13/HN$9</f>
        <v>#DIV/0!</v>
      </c>
      <c r="HP13" s="360">
        <v>0</v>
      </c>
      <c r="HQ13" s="332" t="e">
        <f>HP13/HP$9</f>
        <v>#DIV/0!</v>
      </c>
      <c r="HR13" s="360">
        <v>0</v>
      </c>
      <c r="HS13" s="332" t="e">
        <f>HR13/HR$9</f>
        <v>#DIV/0!</v>
      </c>
      <c r="HT13" s="360">
        <v>0</v>
      </c>
      <c r="HU13" s="332" t="e">
        <f>HT13/HT$9</f>
        <v>#DIV/0!</v>
      </c>
      <c r="HV13" s="360">
        <v>0</v>
      </c>
      <c r="HW13" s="332" t="e">
        <f>HV13/HV$9</f>
        <v>#DIV/0!</v>
      </c>
      <c r="HX13" s="360">
        <v>0</v>
      </c>
      <c r="HY13" s="332" t="e">
        <f>HX13/HX$9</f>
        <v>#DIV/0!</v>
      </c>
      <c r="HZ13" s="360">
        <v>0</v>
      </c>
      <c r="IA13" s="332" t="e">
        <f>HZ13/HZ$9</f>
        <v>#DIV/0!</v>
      </c>
      <c r="IB13" s="360">
        <v>0</v>
      </c>
      <c r="IC13" s="332" t="e">
        <f>IB13/IB$9</f>
        <v>#DIV/0!</v>
      </c>
      <c r="ID13" s="360">
        <v>0</v>
      </c>
      <c r="IE13" s="332" t="e">
        <f>ID13/ID$9</f>
        <v>#DIV/0!</v>
      </c>
      <c r="IF13" s="360">
        <v>0</v>
      </c>
      <c r="IG13" s="332" t="e">
        <f>IF13/IF$9</f>
        <v>#DIV/0!</v>
      </c>
      <c r="IH13" s="360">
        <v>0</v>
      </c>
      <c r="II13" s="332" t="e">
        <f>IH13/IH$9</f>
        <v>#DIV/0!</v>
      </c>
      <c r="IJ13" s="360">
        <v>0</v>
      </c>
      <c r="IK13" s="332" t="e">
        <f>IJ13/IJ$9</f>
        <v>#DIV/0!</v>
      </c>
      <c r="IL13" s="333">
        <f>HN13+HP13+HR13+HT13+HV13+HX13+HZ13+IB13+ID13+IF13+IH13+IJ13</f>
        <v>0</v>
      </c>
      <c r="IM13" s="332" t="e">
        <f>IL13/IL$9</f>
        <v>#DIV/0!</v>
      </c>
    </row>
    <row r="14" spans="2:247" ht="14.4" customHeight="1" x14ac:dyDescent="0.3">
      <c r="C14" s="44" t="s">
        <v>571</v>
      </c>
      <c r="D14" s="155">
        <f>Inversionista!P119</f>
        <v>0.25</v>
      </c>
      <c r="H14" s="44" t="s">
        <v>498</v>
      </c>
      <c r="I14" s="41">
        <f>J14*$D$19</f>
        <v>0</v>
      </c>
      <c r="J14" s="42">
        <f>J13/4.3</f>
        <v>0</v>
      </c>
      <c r="K14" s="111" t="e">
        <f>I14/J14</f>
        <v>#DIV/0!</v>
      </c>
      <c r="L14" s="16">
        <v>0.5</v>
      </c>
      <c r="M14" s="13" t="s">
        <v>323</v>
      </c>
      <c r="P14" s="14" t="s">
        <v>344</v>
      </c>
      <c r="Q14" s="48">
        <f>0.9*0.75</f>
        <v>0.67500000000000004</v>
      </c>
      <c r="R14" s="13" t="s">
        <v>338</v>
      </c>
      <c r="W14" s="336" t="str">
        <f t="shared" si="53"/>
        <v>Octubre</v>
      </c>
      <c r="X14" s="335" t="e">
        <f t="shared" si="67"/>
        <v>#DIV/0!</v>
      </c>
      <c r="Y14" s="336" t="s">
        <v>8</v>
      </c>
      <c r="Z14" s="337">
        <f t="shared" si="47"/>
        <v>0</v>
      </c>
      <c r="AA14" s="338">
        <f t="shared" si="18"/>
        <v>0</v>
      </c>
      <c r="AB14" s="339">
        <f t="shared" si="48"/>
        <v>0</v>
      </c>
      <c r="AC14" s="339">
        <f t="shared" si="37"/>
        <v>0</v>
      </c>
      <c r="AD14" s="340">
        <f t="shared" si="38"/>
        <v>1</v>
      </c>
      <c r="AE14" s="341">
        <f t="shared" si="39"/>
        <v>0</v>
      </c>
      <c r="AF14" s="342">
        <f t="shared" si="49"/>
        <v>0</v>
      </c>
      <c r="AG14" s="343">
        <f t="shared" si="40"/>
        <v>0</v>
      </c>
      <c r="AH14" s="344">
        <f t="shared" si="41"/>
        <v>0</v>
      </c>
      <c r="AI14" s="338">
        <f t="shared" si="42"/>
        <v>0</v>
      </c>
      <c r="AJ14" s="345" t="e">
        <f t="shared" si="43"/>
        <v>#DIV/0!</v>
      </c>
      <c r="AK14" s="346" t="e">
        <f t="shared" si="44"/>
        <v>#DIV/0!</v>
      </c>
      <c r="AM14" s="348">
        <f t="shared" si="5"/>
        <v>0</v>
      </c>
      <c r="AN14" s="348">
        <f t="shared" si="6"/>
        <v>0</v>
      </c>
      <c r="AO14" s="348">
        <f t="shared" si="7"/>
        <v>0</v>
      </c>
      <c r="AP14" s="348">
        <f t="shared" si="8"/>
        <v>0</v>
      </c>
      <c r="AQ14" s="349" t="s">
        <v>777</v>
      </c>
      <c r="AR14" s="297">
        <f t="shared" si="9"/>
        <v>0</v>
      </c>
      <c r="AS14" s="350" t="e">
        <f t="shared" si="2"/>
        <v>#DIV/0!</v>
      </c>
      <c r="AT14" s="530"/>
      <c r="AU14" s="530"/>
      <c r="AV14" s="299">
        <v>0</v>
      </c>
      <c r="AW14" s="300">
        <v>0</v>
      </c>
      <c r="AX14" s="301"/>
      <c r="AY14" s="302" t="str">
        <f t="shared" si="10"/>
        <v>Diciembre</v>
      </c>
      <c r="AZ14" s="303">
        <f>Tabla2[[#Totals],[Columna13]]</f>
        <v>0</v>
      </c>
      <c r="BA14" s="303" t="e">
        <f>Tabla29[[#Totals],[Columna13]]</f>
        <v>#DIV/0!</v>
      </c>
      <c r="BB14" s="303" t="e">
        <f>Tabla292[[#Totals],[Columna13]]</f>
        <v>#DIV/0!</v>
      </c>
      <c r="BC14" s="303" t="e">
        <f>Tabla2926[[#Totals],[Columna13]]</f>
        <v>#DIV/0!</v>
      </c>
      <c r="BD14" s="303" t="e">
        <f>Tabla29268[[#Totals],[Columna13]]</f>
        <v>#DIV/0!</v>
      </c>
      <c r="BE14" s="304" t="e">
        <f t="shared" si="11"/>
        <v>#DIV/0!</v>
      </c>
      <c r="BF14" s="305" t="e">
        <f t="shared" si="12"/>
        <v>#DIV/0!</v>
      </c>
      <c r="BH14" s="530"/>
      <c r="BI14" s="530"/>
      <c r="BJ14" s="350" t="e">
        <f>$AS$12</f>
        <v>#DIV/0!</v>
      </c>
      <c r="BK14" s="242" t="str">
        <f t="shared" si="19"/>
        <v>C7</v>
      </c>
      <c r="BL14" s="303">
        <f t="shared" si="20"/>
        <v>0</v>
      </c>
      <c r="BM14" s="303">
        <f t="shared" si="20"/>
        <v>0</v>
      </c>
      <c r="BN14" s="303">
        <f t="shared" si="20"/>
        <v>0</v>
      </c>
      <c r="BO14" s="303">
        <f t="shared" si="21"/>
        <v>0</v>
      </c>
      <c r="BP14" s="303">
        <f t="shared" si="22"/>
        <v>0</v>
      </c>
      <c r="BQ14" s="303">
        <f t="shared" si="23"/>
        <v>0</v>
      </c>
      <c r="BR14" s="303">
        <f t="shared" si="24"/>
        <v>0</v>
      </c>
      <c r="BS14" s="303">
        <f t="shared" si="25"/>
        <v>0</v>
      </c>
      <c r="BT14" s="303">
        <f t="shared" si="26"/>
        <v>0</v>
      </c>
      <c r="BU14" s="303">
        <f t="shared" si="27"/>
        <v>0</v>
      </c>
      <c r="BV14" s="303">
        <f t="shared" si="28"/>
        <v>0</v>
      </c>
      <c r="BW14" s="303">
        <f t="shared" si="29"/>
        <v>0</v>
      </c>
      <c r="BX14" s="303">
        <f t="shared" si="30"/>
        <v>0</v>
      </c>
      <c r="BY14" s="303">
        <f t="shared" si="31"/>
        <v>0</v>
      </c>
      <c r="BZ14" s="303">
        <f t="shared" si="32"/>
        <v>0</v>
      </c>
      <c r="CB14" s="530"/>
      <c r="CC14" s="530"/>
      <c r="CD14" s="350" t="e">
        <f>$AS$12</f>
        <v>#DIV/0!</v>
      </c>
      <c r="CE14" s="242" t="str">
        <f>Tabla2[[#This Row],[Columna1]]</f>
        <v>C7</v>
      </c>
      <c r="CF14" s="303">
        <f>Tabla29[[#This Row],[Columna3]]/7</f>
        <v>0</v>
      </c>
      <c r="CG14" s="303">
        <f>Tabla29[[#This Row],[Columna4]]/4.2</f>
        <v>0</v>
      </c>
      <c r="CH14" s="303">
        <f>Tabla2[[#This Row],[Columna16]]</f>
        <v>0</v>
      </c>
      <c r="CI14" s="303" t="e">
        <f>(Tabla29[[#This Row],[Columna4]]*CI$5/$BZ$5)*$CH$4</f>
        <v>#DIV/0!</v>
      </c>
      <c r="CJ14" s="303" t="e">
        <f>(Tabla29[[#This Row],[Columna4]]*CJ$5/$BZ$5)*$CH$4</f>
        <v>#DIV/0!</v>
      </c>
      <c r="CK14" s="303" t="e">
        <f>(Tabla29[[#This Row],[Columna4]]*CK$5/$BZ$5)*$CH$4</f>
        <v>#DIV/0!</v>
      </c>
      <c r="CL14" s="303" t="e">
        <f>(Tabla29[[#This Row],[Columna4]]*CL$5/$BZ$5)*$CH$4</f>
        <v>#DIV/0!</v>
      </c>
      <c r="CM14" s="303" t="e">
        <f>(Tabla29[[#This Row],[Columna4]]*CM$5/$BZ$5)*$CH$4</f>
        <v>#DIV/0!</v>
      </c>
      <c r="CN14" s="303" t="e">
        <f>(Tabla29[[#This Row],[Columna4]]*CN$5/$BZ$5)*$CH$4</f>
        <v>#DIV/0!</v>
      </c>
      <c r="CO14" s="303" t="e">
        <f>(Tabla29[[#This Row],[Columna4]]*CO$5/$BZ$5)*$CH$4</f>
        <v>#DIV/0!</v>
      </c>
      <c r="CP14" s="303" t="e">
        <f>(Tabla29[[#This Row],[Columna4]]*CP$5/$BZ$5)*$CH$4</f>
        <v>#DIV/0!</v>
      </c>
      <c r="CQ14" s="303" t="e">
        <f>(Tabla29[[#This Row],[Columna4]]*CQ$5/$BZ$5)*$CH$4</f>
        <v>#DIV/0!</v>
      </c>
      <c r="CR14" s="303" t="e">
        <f>(Tabla29[[#This Row],[Columna4]]*CR$5/$BZ$5)*$CH$4</f>
        <v>#DIV/0!</v>
      </c>
      <c r="CS14" s="303" t="e">
        <f>(Tabla29[[#This Row],[Columna4]]*CS$5/$BZ$5)*$CH$4</f>
        <v>#DIV/0!</v>
      </c>
      <c r="CT14" s="303" t="e">
        <f>(Tabla29[[#This Row],[Columna4]]*CT$5/$BZ$5)*$CH$4</f>
        <v>#DIV/0!</v>
      </c>
      <c r="CV14" s="530"/>
      <c r="CW14" s="530"/>
      <c r="CX14" s="350" t="e">
        <f>$AS$12</f>
        <v>#DIV/0!</v>
      </c>
      <c r="CY14" s="242" t="str">
        <f>Tabla2[[#This Row],[Columna1]]</f>
        <v>C7</v>
      </c>
      <c r="CZ14" s="303" t="e">
        <f>Tabla292[[#This Row],[Columna3]]/7</f>
        <v>#DIV/0!</v>
      </c>
      <c r="DA14" s="303" t="e">
        <f>Tabla292[[#This Row],[Columna4]]/4.2</f>
        <v>#DIV/0!</v>
      </c>
      <c r="DB14" s="303" t="e">
        <f>Tabla29[[#This Row],[Columna16]]</f>
        <v>#DIV/0!</v>
      </c>
      <c r="DC14" s="303" t="e">
        <f>(Tabla292[[#This Row],[Columna4]]*DC$5/$CT$5)*$DB$4</f>
        <v>#DIV/0!</v>
      </c>
      <c r="DD14" s="303" t="e">
        <f>(Tabla292[[#This Row],[Columna4]]*DD$5/$CT$5)*$DB$4</f>
        <v>#DIV/0!</v>
      </c>
      <c r="DE14" s="303" t="e">
        <f>(Tabla292[[#This Row],[Columna4]]*DE$5/$CT$5)*$DB$4</f>
        <v>#DIV/0!</v>
      </c>
      <c r="DF14" s="303" t="e">
        <f>(Tabla292[[#This Row],[Columna4]]*DF$5/$CT$5)*$DB$4</f>
        <v>#DIV/0!</v>
      </c>
      <c r="DG14" s="303" t="e">
        <f>(Tabla292[[#This Row],[Columna4]]*DG$5/$CT$5)*$DB$4</f>
        <v>#DIV/0!</v>
      </c>
      <c r="DH14" s="303" t="e">
        <f>(Tabla292[[#This Row],[Columna4]]*DH$5/$CT$5)*$DB$4</f>
        <v>#DIV/0!</v>
      </c>
      <c r="DI14" s="303" t="e">
        <f>(Tabla292[[#This Row],[Columna4]]*DI$5/$CT$5)*$DB$4</f>
        <v>#DIV/0!</v>
      </c>
      <c r="DJ14" s="303" t="e">
        <f>(Tabla292[[#This Row],[Columna4]]*DJ$5/$CT$5)*$DB$4</f>
        <v>#DIV/0!</v>
      </c>
      <c r="DK14" s="303" t="e">
        <f>(Tabla292[[#This Row],[Columna4]]*DK$5/$CT$5)*$DB$4</f>
        <v>#DIV/0!</v>
      </c>
      <c r="DL14" s="303" t="e">
        <f>(Tabla292[[#This Row],[Columna4]]*DL$5/$CT$5)*$DB$4</f>
        <v>#DIV/0!</v>
      </c>
      <c r="DM14" s="303" t="e">
        <f>(Tabla292[[#This Row],[Columna4]]*DM$5/$CT$5)*$DB$4</f>
        <v>#DIV/0!</v>
      </c>
      <c r="DN14" s="303" t="e">
        <f>(Tabla292[[#This Row],[Columna4]]*DN$5/$CT$5)*$DB$4</f>
        <v>#DIV/0!</v>
      </c>
      <c r="DP14" s="530"/>
      <c r="DQ14" s="530"/>
      <c r="DR14" s="350" t="e">
        <f>$AS$12</f>
        <v>#DIV/0!</v>
      </c>
      <c r="DS14" s="242" t="str">
        <f>Tabla2[[#This Row],[Columna1]]</f>
        <v>C7</v>
      </c>
      <c r="DT14" s="303" t="e">
        <f>Tabla2926[[#This Row],[Columna3]]/7</f>
        <v>#DIV/0!</v>
      </c>
      <c r="DU14" s="303" t="e">
        <f>Tabla2926[[#This Row],[Columna4]]/4.2</f>
        <v>#DIV/0!</v>
      </c>
      <c r="DV14" s="303" t="e">
        <f>Tabla292[[#This Row],[Columna16]]</f>
        <v>#DIV/0!</v>
      </c>
      <c r="DW14" s="303" t="e">
        <f>(Tabla2926[[#This Row],[Columna4]]*DW$5/$DN$5)*$DV$4</f>
        <v>#DIV/0!</v>
      </c>
      <c r="DX14" s="303" t="e">
        <f>(Tabla2926[[#This Row],[Columna4]]*DX$5/$DN$5)*$DV$4</f>
        <v>#DIV/0!</v>
      </c>
      <c r="DY14" s="303" t="e">
        <f>(Tabla2926[[#This Row],[Columna4]]*DY$5/$DN$5)*$DV$4</f>
        <v>#DIV/0!</v>
      </c>
      <c r="DZ14" s="303" t="e">
        <f>(Tabla2926[[#This Row],[Columna4]]*DZ$5/$DN$5)*$DV$4</f>
        <v>#DIV/0!</v>
      </c>
      <c r="EA14" s="303" t="e">
        <f>(Tabla2926[[#This Row],[Columna4]]*EA$5/$DN$5)*$DV$4</f>
        <v>#DIV/0!</v>
      </c>
      <c r="EB14" s="303" t="e">
        <f>(Tabla2926[[#This Row],[Columna4]]*EB$5/$DN$5)*$DV$4</f>
        <v>#DIV/0!</v>
      </c>
      <c r="EC14" s="303" t="e">
        <f>(Tabla2926[[#This Row],[Columna4]]*EC$5/$DN$5)*$DV$4</f>
        <v>#DIV/0!</v>
      </c>
      <c r="ED14" s="303" t="e">
        <f>(Tabla2926[[#This Row],[Columna4]]*ED$5/$DN$5)*$DV$4</f>
        <v>#DIV/0!</v>
      </c>
      <c r="EE14" s="303" t="e">
        <f>(Tabla2926[[#This Row],[Columna4]]*EE$5/$DN$5)*$DV$4</f>
        <v>#DIV/0!</v>
      </c>
      <c r="EF14" s="303" t="e">
        <f>(Tabla2926[[#This Row],[Columna4]]*EF$5/$DN$5)*$DV$4</f>
        <v>#DIV/0!</v>
      </c>
      <c r="EG14" s="303" t="e">
        <f>(Tabla2926[[#This Row],[Columna4]]*EG$5/$DN$5)*$DV$4</f>
        <v>#DIV/0!</v>
      </c>
      <c r="EH14" s="303" t="e">
        <f>(Tabla2926[[#This Row],[Columna4]]*EH$5/$DN$5)*$DV$4</f>
        <v>#DIV/0!</v>
      </c>
      <c r="EJ14" s="530"/>
      <c r="EK14" s="530"/>
      <c r="EL14" s="350" t="e">
        <f>$AS$12</f>
        <v>#DIV/0!</v>
      </c>
      <c r="EM14" s="242" t="str">
        <f>Tabla2[[#This Row],[Columna1]]</f>
        <v>C7</v>
      </c>
      <c r="EN14" s="303" t="e">
        <f>Tabla29268[[#This Row],[Columna3]]/7</f>
        <v>#DIV/0!</v>
      </c>
      <c r="EO14" s="303" t="e">
        <f>Tabla29268[[#This Row],[Columna4]]/4.2</f>
        <v>#DIV/0!</v>
      </c>
      <c r="EP14" s="303" t="e">
        <f>Tabla2926[[#This Row],[Columna16]]</f>
        <v>#DIV/0!</v>
      </c>
      <c r="EQ14" s="303" t="e">
        <f>(Tabla29268[[#This Row],[Columna4]]*EQ$5/$EH$5)*$EP$4</f>
        <v>#DIV/0!</v>
      </c>
      <c r="ER14" s="303" t="e">
        <f>(Tabla29268[[#This Row],[Columna4]]*ER$5/$EH$5)*$EP$4</f>
        <v>#DIV/0!</v>
      </c>
      <c r="ES14" s="303" t="e">
        <f>(Tabla29268[[#This Row],[Columna4]]*ES$5/$EH$5)*$EP$4</f>
        <v>#DIV/0!</v>
      </c>
      <c r="ET14" s="303" t="e">
        <f>(Tabla29268[[#This Row],[Columna4]]*ET$5/$EH$5)*$EP$4</f>
        <v>#DIV/0!</v>
      </c>
      <c r="EU14" s="303" t="e">
        <f>(Tabla29268[[#This Row],[Columna4]]*EU$5/$EH$5)*$EP$4</f>
        <v>#DIV/0!</v>
      </c>
      <c r="EV14" s="303" t="e">
        <f>(Tabla29268[[#This Row],[Columna4]]*EV$5/$EH$5)*$EP$4</f>
        <v>#DIV/0!</v>
      </c>
      <c r="EW14" s="303" t="e">
        <f>(Tabla29268[[#This Row],[Columna4]]*EW$5/$EH$5)*$EP$4</f>
        <v>#DIV/0!</v>
      </c>
      <c r="EX14" s="303" t="e">
        <f>(Tabla29268[[#This Row],[Columna4]]*EX$5/$EH$5)*$EP$4</f>
        <v>#DIV/0!</v>
      </c>
      <c r="EY14" s="303" t="e">
        <f>(Tabla29268[[#This Row],[Columna4]]*EY$5/$EH$5)*$EP$4</f>
        <v>#DIV/0!</v>
      </c>
      <c r="EZ14" s="303" t="e">
        <f>(Tabla29268[[#This Row],[Columna4]]*EZ$5/$EH$5)*$EP$4</f>
        <v>#DIV/0!</v>
      </c>
      <c r="FA14" s="303" t="e">
        <f>(Tabla29268[[#This Row],[Columna4]]*FA$5/$EH$5)*$EP$4</f>
        <v>#DIV/0!</v>
      </c>
      <c r="FB14" s="303" t="e">
        <f>(Tabla29268[[#This Row],[Columna4]]*FB$5/$EH$5)*$EP$4</f>
        <v>#DIV/0!</v>
      </c>
      <c r="FE14" s="361"/>
      <c r="FF14" s="362"/>
      <c r="FG14" s="362"/>
      <c r="FH14" s="362"/>
      <c r="FI14" s="362"/>
      <c r="FJ14" s="362"/>
      <c r="FK14" s="362"/>
      <c r="FL14" s="362"/>
      <c r="FM14" s="362"/>
      <c r="FN14" s="362"/>
      <c r="FO14" s="362"/>
      <c r="FP14" s="362"/>
      <c r="FQ14" s="362"/>
      <c r="FR14" s="363"/>
      <c r="FS14" s="364"/>
      <c r="FV14" s="361"/>
      <c r="FW14" s="362"/>
      <c r="FX14" s="362"/>
      <c r="FY14" s="362"/>
      <c r="FZ14" s="362"/>
      <c r="GA14" s="362"/>
      <c r="GB14" s="362"/>
      <c r="GC14" s="362"/>
      <c r="GD14" s="362"/>
      <c r="GE14" s="362"/>
      <c r="GF14" s="362"/>
      <c r="GG14" s="362"/>
      <c r="GH14" s="362"/>
      <c r="GI14" s="362"/>
      <c r="GJ14" s="365"/>
      <c r="GL14" s="250">
        <f>GL13+1</f>
        <v>7</v>
      </c>
      <c r="GM14" s="352" t="s">
        <v>503</v>
      </c>
      <c r="GN14" s="353">
        <v>0</v>
      </c>
      <c r="GO14" s="353">
        <v>0</v>
      </c>
      <c r="GP14" s="353">
        <v>0</v>
      </c>
      <c r="GQ14" s="353">
        <v>0</v>
      </c>
      <c r="GR14" s="353">
        <v>0</v>
      </c>
      <c r="GS14" s="353">
        <v>0</v>
      </c>
      <c r="GT14" s="353">
        <v>0</v>
      </c>
      <c r="GU14" s="353">
        <v>0</v>
      </c>
      <c r="GV14" s="353">
        <v>0</v>
      </c>
      <c r="GW14" s="353">
        <v>0</v>
      </c>
      <c r="GX14" s="353">
        <v>0</v>
      </c>
      <c r="GY14" s="353">
        <v>0</v>
      </c>
      <c r="GZ14" s="328">
        <f>SUM(GN14:GY14)</f>
        <v>0</v>
      </c>
      <c r="HA14" s="329" t="e">
        <f t="shared" si="55"/>
        <v>#DIV/0!</v>
      </c>
      <c r="HD14" s="60" t="s">
        <v>523</v>
      </c>
      <c r="HE14" s="61"/>
      <c r="HF14" s="62">
        <f>SUM(HF15:HF44)</f>
        <v>0</v>
      </c>
      <c r="HG14" s="63"/>
      <c r="HH14" s="64"/>
      <c r="HI14" s="142"/>
      <c r="HJ14" s="139"/>
      <c r="HK14" s="347">
        <v>60</v>
      </c>
      <c r="HM14" s="283"/>
      <c r="HN14" s="316"/>
      <c r="HO14" s="285"/>
      <c r="HP14" s="316"/>
      <c r="HQ14" s="285"/>
      <c r="HR14" s="316"/>
      <c r="HS14" s="285"/>
      <c r="HT14" s="316"/>
      <c r="HU14" s="285"/>
      <c r="HV14" s="316"/>
      <c r="HW14" s="285"/>
      <c r="HX14" s="316"/>
      <c r="HY14" s="285"/>
      <c r="HZ14" s="316"/>
      <c r="IA14" s="285"/>
      <c r="IB14" s="316"/>
      <c r="IC14" s="285"/>
      <c r="ID14" s="316"/>
      <c r="IE14" s="285"/>
      <c r="IF14" s="316"/>
      <c r="IG14" s="285"/>
      <c r="IH14" s="316"/>
      <c r="II14" s="285"/>
      <c r="IJ14" s="316"/>
      <c r="IK14" s="285"/>
      <c r="IL14" s="283"/>
      <c r="IM14" s="285"/>
    </row>
    <row r="15" spans="2:247" ht="14.4" customHeight="1" x14ac:dyDescent="0.3">
      <c r="C15" s="44" t="s">
        <v>566</v>
      </c>
      <c r="D15" s="155">
        <f>Inversionista!P112</f>
        <v>0.5</v>
      </c>
      <c r="H15" s="44" t="s">
        <v>499</v>
      </c>
      <c r="I15" s="41">
        <f>J15*$D$19</f>
        <v>0</v>
      </c>
      <c r="J15" s="42">
        <f>J14/6</f>
        <v>0</v>
      </c>
      <c r="K15" s="111" t="e">
        <f>I15/J15</f>
        <v>#DIV/0!</v>
      </c>
      <c r="L15" s="114" t="s">
        <v>316</v>
      </c>
      <c r="M15" s="101" t="s">
        <v>15</v>
      </c>
      <c r="P15" s="14" t="s">
        <v>344</v>
      </c>
      <c r="Q15" s="48">
        <f>1.2*0.75</f>
        <v>0.89999999999999991</v>
      </c>
      <c r="R15" s="13" t="s">
        <v>341</v>
      </c>
      <c r="W15" s="336" t="str">
        <f t="shared" si="53"/>
        <v>Noviembre</v>
      </c>
      <c r="X15" s="335" t="e">
        <f t="shared" si="67"/>
        <v>#DIV/0!</v>
      </c>
      <c r="Y15" s="336" t="s">
        <v>9</v>
      </c>
      <c r="Z15" s="337">
        <f t="shared" si="47"/>
        <v>0</v>
      </c>
      <c r="AA15" s="338">
        <f t="shared" si="18"/>
        <v>0</v>
      </c>
      <c r="AB15" s="339">
        <f t="shared" si="48"/>
        <v>0</v>
      </c>
      <c r="AC15" s="339">
        <f t="shared" si="37"/>
        <v>0</v>
      </c>
      <c r="AD15" s="340">
        <f t="shared" si="38"/>
        <v>1</v>
      </c>
      <c r="AE15" s="341">
        <f t="shared" si="39"/>
        <v>0</v>
      </c>
      <c r="AF15" s="342">
        <f t="shared" si="49"/>
        <v>0</v>
      </c>
      <c r="AG15" s="343">
        <f t="shared" si="40"/>
        <v>0</v>
      </c>
      <c r="AH15" s="344">
        <f t="shared" si="41"/>
        <v>0</v>
      </c>
      <c r="AI15" s="338">
        <f t="shared" si="42"/>
        <v>0</v>
      </c>
      <c r="AJ15" s="345" t="e">
        <f t="shared" si="43"/>
        <v>#DIV/0!</v>
      </c>
      <c r="AK15" s="346" t="e">
        <f t="shared" si="44"/>
        <v>#DIV/0!</v>
      </c>
      <c r="AM15" s="348">
        <f t="shared" si="5"/>
        <v>0</v>
      </c>
      <c r="AN15" s="348">
        <f t="shared" si="6"/>
        <v>0</v>
      </c>
      <c r="AO15" s="348">
        <f t="shared" si="7"/>
        <v>0</v>
      </c>
      <c r="AP15" s="348">
        <f t="shared" si="8"/>
        <v>0</v>
      </c>
      <c r="AQ15" s="349" t="s">
        <v>778</v>
      </c>
      <c r="AR15" s="297">
        <f t="shared" si="9"/>
        <v>0</v>
      </c>
      <c r="AS15" s="350" t="e">
        <f t="shared" si="2"/>
        <v>#DIV/0!</v>
      </c>
      <c r="AT15" s="530"/>
      <c r="AU15" s="530"/>
      <c r="AV15" s="299">
        <v>0</v>
      </c>
      <c r="AW15" s="300">
        <v>0</v>
      </c>
      <c r="AX15" s="301"/>
      <c r="AY15" s="302" t="str">
        <f t="shared" si="10"/>
        <v>Enero</v>
      </c>
      <c r="AZ15" s="303">
        <f>Tabla2[[#Totals],[Columna14]]</f>
        <v>0</v>
      </c>
      <c r="BA15" s="303" t="e">
        <f>Tabla29[[#Totals],[Columna14]]</f>
        <v>#DIV/0!</v>
      </c>
      <c r="BB15" s="303" t="e">
        <f>Tabla292[[#Totals],[Columna14]]</f>
        <v>#DIV/0!</v>
      </c>
      <c r="BC15" s="303" t="e">
        <f>Tabla2926[[#Totals],[Columna14]]</f>
        <v>#DIV/0!</v>
      </c>
      <c r="BD15" s="303" t="e">
        <f>Tabla29268[[#Totals],[Columna14]]</f>
        <v>#DIV/0!</v>
      </c>
      <c r="BE15" s="304" t="e">
        <f t="shared" si="11"/>
        <v>#DIV/0!</v>
      </c>
      <c r="BF15" s="305" t="e">
        <f t="shared" si="12"/>
        <v>#DIV/0!</v>
      </c>
      <c r="BH15" s="530"/>
      <c r="BI15" s="530"/>
      <c r="BJ15" s="350" t="e">
        <f>$AS$13</f>
        <v>#DIV/0!</v>
      </c>
      <c r="BK15" s="242" t="str">
        <f t="shared" si="19"/>
        <v>C8</v>
      </c>
      <c r="BL15" s="303">
        <f t="shared" si="20"/>
        <v>0</v>
      </c>
      <c r="BM15" s="303">
        <f t="shared" si="20"/>
        <v>0</v>
      </c>
      <c r="BN15" s="303">
        <f t="shared" si="20"/>
        <v>0</v>
      </c>
      <c r="BO15" s="303">
        <f t="shared" si="21"/>
        <v>0</v>
      </c>
      <c r="BP15" s="303">
        <f t="shared" si="22"/>
        <v>0</v>
      </c>
      <c r="BQ15" s="303">
        <f t="shared" si="23"/>
        <v>0</v>
      </c>
      <c r="BR15" s="303">
        <f t="shared" si="24"/>
        <v>0</v>
      </c>
      <c r="BS15" s="303">
        <f t="shared" si="25"/>
        <v>0</v>
      </c>
      <c r="BT15" s="303">
        <f t="shared" si="26"/>
        <v>0</v>
      </c>
      <c r="BU15" s="303">
        <f t="shared" si="27"/>
        <v>0</v>
      </c>
      <c r="BV15" s="303">
        <f t="shared" si="28"/>
        <v>0</v>
      </c>
      <c r="BW15" s="303">
        <f t="shared" si="29"/>
        <v>0</v>
      </c>
      <c r="BX15" s="303">
        <f t="shared" si="30"/>
        <v>0</v>
      </c>
      <c r="BY15" s="303">
        <f t="shared" si="31"/>
        <v>0</v>
      </c>
      <c r="BZ15" s="303">
        <f t="shared" si="32"/>
        <v>0</v>
      </c>
      <c r="CB15" s="530"/>
      <c r="CC15" s="530"/>
      <c r="CD15" s="350" t="e">
        <f>$AS$13</f>
        <v>#DIV/0!</v>
      </c>
      <c r="CE15" s="242" t="str">
        <f>Tabla2[[#This Row],[Columna1]]</f>
        <v>C8</v>
      </c>
      <c r="CF15" s="303">
        <f>Tabla29[[#This Row],[Columna3]]/7</f>
        <v>0</v>
      </c>
      <c r="CG15" s="303">
        <f>Tabla29[[#This Row],[Columna4]]/4.2</f>
        <v>0</v>
      </c>
      <c r="CH15" s="303">
        <f>Tabla2[[#This Row],[Columna16]]</f>
        <v>0</v>
      </c>
      <c r="CI15" s="303" t="e">
        <f>(Tabla29[[#This Row],[Columna4]]*CI$5/$BZ$5)*$CH$4</f>
        <v>#DIV/0!</v>
      </c>
      <c r="CJ15" s="303" t="e">
        <f>(Tabla29[[#This Row],[Columna4]]*CJ$5/$BZ$5)*$CH$4</f>
        <v>#DIV/0!</v>
      </c>
      <c r="CK15" s="303" t="e">
        <f>(Tabla29[[#This Row],[Columna4]]*CK$5/$BZ$5)*$CH$4</f>
        <v>#DIV/0!</v>
      </c>
      <c r="CL15" s="303" t="e">
        <f>(Tabla29[[#This Row],[Columna4]]*CL$5/$BZ$5)*$CH$4</f>
        <v>#DIV/0!</v>
      </c>
      <c r="CM15" s="303" t="e">
        <f>(Tabla29[[#This Row],[Columna4]]*CM$5/$BZ$5)*$CH$4</f>
        <v>#DIV/0!</v>
      </c>
      <c r="CN15" s="303" t="e">
        <f>(Tabla29[[#This Row],[Columna4]]*CN$5/$BZ$5)*$CH$4</f>
        <v>#DIV/0!</v>
      </c>
      <c r="CO15" s="303" t="e">
        <f>(Tabla29[[#This Row],[Columna4]]*CO$5/$BZ$5)*$CH$4</f>
        <v>#DIV/0!</v>
      </c>
      <c r="CP15" s="303" t="e">
        <f>(Tabla29[[#This Row],[Columna4]]*CP$5/$BZ$5)*$CH$4</f>
        <v>#DIV/0!</v>
      </c>
      <c r="CQ15" s="303" t="e">
        <f>(Tabla29[[#This Row],[Columna4]]*CQ$5/$BZ$5)*$CH$4</f>
        <v>#DIV/0!</v>
      </c>
      <c r="CR15" s="303" t="e">
        <f>(Tabla29[[#This Row],[Columna4]]*CR$5/$BZ$5)*$CH$4</f>
        <v>#DIV/0!</v>
      </c>
      <c r="CS15" s="303" t="e">
        <f>(Tabla29[[#This Row],[Columna4]]*CS$5/$BZ$5)*$CH$4</f>
        <v>#DIV/0!</v>
      </c>
      <c r="CT15" s="303" t="e">
        <f>(Tabla29[[#This Row],[Columna4]]*CT$5/$BZ$5)*$CH$4</f>
        <v>#DIV/0!</v>
      </c>
      <c r="CV15" s="530"/>
      <c r="CW15" s="530"/>
      <c r="CX15" s="350" t="e">
        <f>$AS$13</f>
        <v>#DIV/0!</v>
      </c>
      <c r="CY15" s="242" t="str">
        <f>Tabla2[[#This Row],[Columna1]]</f>
        <v>C8</v>
      </c>
      <c r="CZ15" s="303" t="e">
        <f>Tabla292[[#This Row],[Columna3]]/7</f>
        <v>#DIV/0!</v>
      </c>
      <c r="DA15" s="303" t="e">
        <f>Tabla292[[#This Row],[Columna4]]/4.2</f>
        <v>#DIV/0!</v>
      </c>
      <c r="DB15" s="303" t="e">
        <f>Tabla29[[#This Row],[Columna16]]</f>
        <v>#DIV/0!</v>
      </c>
      <c r="DC15" s="303" t="e">
        <f>(Tabla292[[#This Row],[Columna4]]*DC$5/$CT$5)*$DB$4</f>
        <v>#DIV/0!</v>
      </c>
      <c r="DD15" s="303" t="e">
        <f>(Tabla292[[#This Row],[Columna4]]*DD$5/$CT$5)*$DB$4</f>
        <v>#DIV/0!</v>
      </c>
      <c r="DE15" s="303" t="e">
        <f>(Tabla292[[#This Row],[Columna4]]*DE$5/$CT$5)*$DB$4</f>
        <v>#DIV/0!</v>
      </c>
      <c r="DF15" s="303" t="e">
        <f>(Tabla292[[#This Row],[Columna4]]*DF$5/$CT$5)*$DB$4</f>
        <v>#DIV/0!</v>
      </c>
      <c r="DG15" s="303" t="e">
        <f>(Tabla292[[#This Row],[Columna4]]*DG$5/$CT$5)*$DB$4</f>
        <v>#DIV/0!</v>
      </c>
      <c r="DH15" s="303" t="e">
        <f>(Tabla292[[#This Row],[Columna4]]*DH$5/$CT$5)*$DB$4</f>
        <v>#DIV/0!</v>
      </c>
      <c r="DI15" s="303" t="e">
        <f>(Tabla292[[#This Row],[Columna4]]*DI$5/$CT$5)*$DB$4</f>
        <v>#DIV/0!</v>
      </c>
      <c r="DJ15" s="303" t="e">
        <f>(Tabla292[[#This Row],[Columna4]]*DJ$5/$CT$5)*$DB$4</f>
        <v>#DIV/0!</v>
      </c>
      <c r="DK15" s="303" t="e">
        <f>(Tabla292[[#This Row],[Columna4]]*DK$5/$CT$5)*$DB$4</f>
        <v>#DIV/0!</v>
      </c>
      <c r="DL15" s="303" t="e">
        <f>(Tabla292[[#This Row],[Columna4]]*DL$5/$CT$5)*$DB$4</f>
        <v>#DIV/0!</v>
      </c>
      <c r="DM15" s="303" t="e">
        <f>(Tabla292[[#This Row],[Columna4]]*DM$5/$CT$5)*$DB$4</f>
        <v>#DIV/0!</v>
      </c>
      <c r="DN15" s="303" t="e">
        <f>(Tabla292[[#This Row],[Columna4]]*DN$5/$CT$5)*$DB$4</f>
        <v>#DIV/0!</v>
      </c>
      <c r="DP15" s="530"/>
      <c r="DQ15" s="530"/>
      <c r="DR15" s="350" t="e">
        <f>$AS$13</f>
        <v>#DIV/0!</v>
      </c>
      <c r="DS15" s="242" t="str">
        <f>Tabla2[[#This Row],[Columna1]]</f>
        <v>C8</v>
      </c>
      <c r="DT15" s="303" t="e">
        <f>Tabla2926[[#This Row],[Columna3]]/7</f>
        <v>#DIV/0!</v>
      </c>
      <c r="DU15" s="303" t="e">
        <f>Tabla2926[[#This Row],[Columna4]]/4.2</f>
        <v>#DIV/0!</v>
      </c>
      <c r="DV15" s="303" t="e">
        <f>Tabla292[[#This Row],[Columna16]]</f>
        <v>#DIV/0!</v>
      </c>
      <c r="DW15" s="303" t="e">
        <f>(Tabla2926[[#This Row],[Columna4]]*DW$5/$DN$5)*$DV$4</f>
        <v>#DIV/0!</v>
      </c>
      <c r="DX15" s="303" t="e">
        <f>(Tabla2926[[#This Row],[Columna4]]*DX$5/$DN$5)*$DV$4</f>
        <v>#DIV/0!</v>
      </c>
      <c r="DY15" s="303" t="e">
        <f>(Tabla2926[[#This Row],[Columna4]]*DY$5/$DN$5)*$DV$4</f>
        <v>#DIV/0!</v>
      </c>
      <c r="DZ15" s="303" t="e">
        <f>(Tabla2926[[#This Row],[Columna4]]*DZ$5/$DN$5)*$DV$4</f>
        <v>#DIV/0!</v>
      </c>
      <c r="EA15" s="303" t="e">
        <f>(Tabla2926[[#This Row],[Columna4]]*EA$5/$DN$5)*$DV$4</f>
        <v>#DIV/0!</v>
      </c>
      <c r="EB15" s="303" t="e">
        <f>(Tabla2926[[#This Row],[Columna4]]*EB$5/$DN$5)*$DV$4</f>
        <v>#DIV/0!</v>
      </c>
      <c r="EC15" s="303" t="e">
        <f>(Tabla2926[[#This Row],[Columna4]]*EC$5/$DN$5)*$DV$4</f>
        <v>#DIV/0!</v>
      </c>
      <c r="ED15" s="303" t="e">
        <f>(Tabla2926[[#This Row],[Columna4]]*ED$5/$DN$5)*$DV$4</f>
        <v>#DIV/0!</v>
      </c>
      <c r="EE15" s="303" t="e">
        <f>(Tabla2926[[#This Row],[Columna4]]*EE$5/$DN$5)*$DV$4</f>
        <v>#DIV/0!</v>
      </c>
      <c r="EF15" s="303" t="e">
        <f>(Tabla2926[[#This Row],[Columna4]]*EF$5/$DN$5)*$DV$4</f>
        <v>#DIV/0!</v>
      </c>
      <c r="EG15" s="303" t="e">
        <f>(Tabla2926[[#This Row],[Columna4]]*EG$5/$DN$5)*$DV$4</f>
        <v>#DIV/0!</v>
      </c>
      <c r="EH15" s="303" t="e">
        <f>(Tabla2926[[#This Row],[Columna4]]*EH$5/$DN$5)*$DV$4</f>
        <v>#DIV/0!</v>
      </c>
      <c r="EJ15" s="530"/>
      <c r="EK15" s="530"/>
      <c r="EL15" s="350" t="e">
        <f>$AS$13</f>
        <v>#DIV/0!</v>
      </c>
      <c r="EM15" s="242" t="str">
        <f>Tabla2[[#This Row],[Columna1]]</f>
        <v>C8</v>
      </c>
      <c r="EN15" s="303" t="e">
        <f>Tabla29268[[#This Row],[Columna3]]/7</f>
        <v>#DIV/0!</v>
      </c>
      <c r="EO15" s="303" t="e">
        <f>Tabla29268[[#This Row],[Columna4]]/4.2</f>
        <v>#DIV/0!</v>
      </c>
      <c r="EP15" s="303" t="e">
        <f>Tabla2926[[#This Row],[Columna16]]</f>
        <v>#DIV/0!</v>
      </c>
      <c r="EQ15" s="303" t="e">
        <f>(Tabla29268[[#This Row],[Columna4]]*EQ$5/$EH$5)*$EP$4</f>
        <v>#DIV/0!</v>
      </c>
      <c r="ER15" s="303" t="e">
        <f>(Tabla29268[[#This Row],[Columna4]]*ER$5/$EH$5)*$EP$4</f>
        <v>#DIV/0!</v>
      </c>
      <c r="ES15" s="303" t="e">
        <f>(Tabla29268[[#This Row],[Columna4]]*ES$5/$EH$5)*$EP$4</f>
        <v>#DIV/0!</v>
      </c>
      <c r="ET15" s="303" t="e">
        <f>(Tabla29268[[#This Row],[Columna4]]*ET$5/$EH$5)*$EP$4</f>
        <v>#DIV/0!</v>
      </c>
      <c r="EU15" s="303" t="e">
        <f>(Tabla29268[[#This Row],[Columna4]]*EU$5/$EH$5)*$EP$4</f>
        <v>#DIV/0!</v>
      </c>
      <c r="EV15" s="303" t="e">
        <f>(Tabla29268[[#This Row],[Columna4]]*EV$5/$EH$5)*$EP$4</f>
        <v>#DIV/0!</v>
      </c>
      <c r="EW15" s="303" t="e">
        <f>(Tabla29268[[#This Row],[Columna4]]*EW$5/$EH$5)*$EP$4</f>
        <v>#DIV/0!</v>
      </c>
      <c r="EX15" s="303" t="e">
        <f>(Tabla29268[[#This Row],[Columna4]]*EX$5/$EH$5)*$EP$4</f>
        <v>#DIV/0!</v>
      </c>
      <c r="EY15" s="303" t="e">
        <f>(Tabla29268[[#This Row],[Columna4]]*EY$5/$EH$5)*$EP$4</f>
        <v>#DIV/0!</v>
      </c>
      <c r="EZ15" s="303" t="e">
        <f>(Tabla29268[[#This Row],[Columna4]]*EZ$5/$EH$5)*$EP$4</f>
        <v>#DIV/0!</v>
      </c>
      <c r="FA15" s="303" t="e">
        <f>(Tabla29268[[#This Row],[Columna4]]*FA$5/$EH$5)*$EP$4</f>
        <v>#DIV/0!</v>
      </c>
      <c r="FB15" s="303" t="e">
        <f>(Tabla29268[[#This Row],[Columna4]]*FB$5/$EH$5)*$EP$4</f>
        <v>#DIV/0!</v>
      </c>
      <c r="FE15" s="357" t="s">
        <v>249</v>
      </c>
      <c r="FF15" s="366">
        <f>FF8*Inversionista!$P$111</f>
        <v>0</v>
      </c>
      <c r="FG15" s="366">
        <f>FG8*Inversionista!$P$111</f>
        <v>0</v>
      </c>
      <c r="FH15" s="366">
        <f>FH8*Inversionista!$P$111</f>
        <v>0</v>
      </c>
      <c r="FI15" s="366">
        <f>FI8*Inversionista!$P$111</f>
        <v>0</v>
      </c>
      <c r="FJ15" s="366">
        <f>FJ8*Inversionista!$P$111</f>
        <v>0</v>
      </c>
      <c r="FK15" s="366">
        <f>FK8*Inversionista!$P$111</f>
        <v>0</v>
      </c>
      <c r="FL15" s="366">
        <f>FL8*Inversionista!$P$111</f>
        <v>0</v>
      </c>
      <c r="FM15" s="366">
        <f>FM8*Inversionista!$P$111</f>
        <v>0</v>
      </c>
      <c r="FN15" s="366">
        <f>FN8*Inversionista!$P$111</f>
        <v>0</v>
      </c>
      <c r="FO15" s="366">
        <f>FO8*Inversionista!$P$111</f>
        <v>0</v>
      </c>
      <c r="FP15" s="366">
        <f>FP8*Inversionista!$P$111</f>
        <v>0</v>
      </c>
      <c r="FQ15" s="366">
        <f>FQ8*Inversionista!$P$111</f>
        <v>0</v>
      </c>
      <c r="FR15" s="363">
        <f t="shared" ref="FR15" si="74">SUM(FF15:FQ15)</f>
        <v>0</v>
      </c>
      <c r="FS15" s="260" t="e">
        <f>FR15/$FR$6</f>
        <v>#DIV/0!</v>
      </c>
      <c r="FV15" s="357" t="s">
        <v>249</v>
      </c>
      <c r="FW15" s="366" t="e">
        <f>FW8*GD1</f>
        <v>#DIV/0!</v>
      </c>
      <c r="FX15" s="366" t="e">
        <f>FX8*GD1</f>
        <v>#DIV/0!</v>
      </c>
      <c r="FY15" s="366" t="e">
        <f>FY8*GD1</f>
        <v>#DIV/0!</v>
      </c>
      <c r="FZ15" s="366" t="e">
        <f>FZ8*GD1</f>
        <v>#DIV/0!</v>
      </c>
      <c r="GA15" s="366" t="e">
        <f>GA8*GD1</f>
        <v>#DIV/0!</v>
      </c>
      <c r="GB15" s="366" t="e">
        <f>GB8*GD1</f>
        <v>#DIV/0!</v>
      </c>
      <c r="GC15" s="366" t="e">
        <f>GC8*GD1</f>
        <v>#DIV/0!</v>
      </c>
      <c r="GD15" s="366" t="e">
        <f>GD8*GD1</f>
        <v>#DIV/0!</v>
      </c>
      <c r="GE15" s="366" t="e">
        <f>GE8*GD1</f>
        <v>#DIV/0!</v>
      </c>
      <c r="GF15" s="366" t="e">
        <f>GF8*GD1</f>
        <v>#DIV/0!</v>
      </c>
      <c r="GG15" s="366" t="e">
        <f>GG8*GD1</f>
        <v>#DIV/0!</v>
      </c>
      <c r="GH15" s="366" t="e">
        <f>GH8*GD1</f>
        <v>#DIV/0!</v>
      </c>
      <c r="GI15" s="309" t="e">
        <f t="shared" ref="GI15" si="75">SUM(FW15:GH15)</f>
        <v>#DIV/0!</v>
      </c>
      <c r="GJ15" s="262" t="e">
        <f>GI15/$GI$6</f>
        <v>#DIV/0!</v>
      </c>
      <c r="GL15" s="250"/>
      <c r="GM15" s="310" t="s">
        <v>459</v>
      </c>
      <c r="GN15" s="311">
        <f t="shared" ref="GN15:GZ15" si="76">SUM(GN16:GN18)</f>
        <v>0</v>
      </c>
      <c r="GO15" s="311">
        <f t="shared" si="76"/>
        <v>0</v>
      </c>
      <c r="GP15" s="311">
        <f t="shared" si="76"/>
        <v>0</v>
      </c>
      <c r="GQ15" s="311">
        <f t="shared" si="76"/>
        <v>0</v>
      </c>
      <c r="GR15" s="311">
        <f t="shared" si="76"/>
        <v>0</v>
      </c>
      <c r="GS15" s="311">
        <f t="shared" si="76"/>
        <v>0</v>
      </c>
      <c r="GT15" s="311">
        <f t="shared" si="76"/>
        <v>0</v>
      </c>
      <c r="GU15" s="311">
        <f t="shared" si="76"/>
        <v>0</v>
      </c>
      <c r="GV15" s="311">
        <f t="shared" si="76"/>
        <v>0</v>
      </c>
      <c r="GW15" s="311">
        <f t="shared" si="76"/>
        <v>0</v>
      </c>
      <c r="GX15" s="311">
        <f t="shared" si="76"/>
        <v>0</v>
      </c>
      <c r="GY15" s="311">
        <f t="shared" si="76"/>
        <v>0</v>
      </c>
      <c r="GZ15" s="311">
        <f t="shared" si="76"/>
        <v>0</v>
      </c>
      <c r="HA15" s="312" t="e">
        <f t="shared" si="55"/>
        <v>#DIV/0!</v>
      </c>
      <c r="HD15" s="65" t="s">
        <v>779</v>
      </c>
      <c r="HE15" s="66">
        <v>0</v>
      </c>
      <c r="HF15" s="67">
        <f t="shared" ref="HF15:HF44" si="77">HE15*HG15</f>
        <v>0</v>
      </c>
      <c r="HG15" s="68">
        <f t="shared" ref="HG15:HG44" si="78">HI15*HH15</f>
        <v>0</v>
      </c>
      <c r="HH15" s="69">
        <v>1</v>
      </c>
      <c r="HI15" s="367">
        <v>0</v>
      </c>
      <c r="HJ15" s="140"/>
      <c r="HK15" s="90" t="s">
        <v>646</v>
      </c>
      <c r="HM15" s="330" t="s">
        <v>587</v>
      </c>
      <c r="HN15" s="316" t="e">
        <f>HN9*HO15</f>
        <v>#DIV/0!</v>
      </c>
      <c r="HO15" s="354" t="e">
        <f>$FS$9</f>
        <v>#DIV/0!</v>
      </c>
      <c r="HP15" s="316" t="e">
        <f t="shared" ref="HP15" si="79">HP9*HQ15</f>
        <v>#DIV/0!</v>
      </c>
      <c r="HQ15" s="354" t="e">
        <f>$FS$9</f>
        <v>#DIV/0!</v>
      </c>
      <c r="HR15" s="316" t="e">
        <f t="shared" ref="HR15" si="80">HR9*HS15</f>
        <v>#DIV/0!</v>
      </c>
      <c r="HS15" s="354" t="e">
        <f>$FS$9</f>
        <v>#DIV/0!</v>
      </c>
      <c r="HT15" s="316" t="e">
        <f t="shared" ref="HT15" si="81">HT9*HU15</f>
        <v>#DIV/0!</v>
      </c>
      <c r="HU15" s="354" t="e">
        <f>$FS$9</f>
        <v>#DIV/0!</v>
      </c>
      <c r="HV15" s="316" t="e">
        <f t="shared" ref="HV15" si="82">HV9*HW15</f>
        <v>#DIV/0!</v>
      </c>
      <c r="HW15" s="354" t="e">
        <f>$FS$9</f>
        <v>#DIV/0!</v>
      </c>
      <c r="HX15" s="316" t="e">
        <f t="shared" ref="HX15" si="83">HX9*HY15</f>
        <v>#DIV/0!</v>
      </c>
      <c r="HY15" s="354" t="e">
        <f>$FS$9</f>
        <v>#DIV/0!</v>
      </c>
      <c r="HZ15" s="316" t="e">
        <f t="shared" ref="HZ15" si="84">HZ9*IA15</f>
        <v>#DIV/0!</v>
      </c>
      <c r="IA15" s="354" t="e">
        <f>$FS$9</f>
        <v>#DIV/0!</v>
      </c>
      <c r="IB15" s="316" t="e">
        <f t="shared" ref="IB15" si="85">IB9*IC15</f>
        <v>#DIV/0!</v>
      </c>
      <c r="IC15" s="354" t="e">
        <f>$FS$9</f>
        <v>#DIV/0!</v>
      </c>
      <c r="ID15" s="316" t="e">
        <f t="shared" ref="ID15" si="86">ID9*IE15</f>
        <v>#DIV/0!</v>
      </c>
      <c r="IE15" s="354" t="e">
        <f>$FS$9</f>
        <v>#DIV/0!</v>
      </c>
      <c r="IF15" s="316" t="e">
        <f t="shared" ref="IF15" si="87">IF9*IG15</f>
        <v>#DIV/0!</v>
      </c>
      <c r="IG15" s="354" t="e">
        <f>$FS$9</f>
        <v>#DIV/0!</v>
      </c>
      <c r="IH15" s="316" t="e">
        <f t="shared" ref="IH15" si="88">IH9*II15</f>
        <v>#DIV/0!</v>
      </c>
      <c r="II15" s="354" t="e">
        <f>$FS$9</f>
        <v>#DIV/0!</v>
      </c>
      <c r="IJ15" s="316" t="e">
        <f t="shared" ref="IJ15" si="89">IJ9*IK15</f>
        <v>#DIV/0!</v>
      </c>
      <c r="IK15" s="354" t="e">
        <f>$FS$9</f>
        <v>#DIV/0!</v>
      </c>
      <c r="IL15" s="333" t="e">
        <f>HN15+HP15+HR15+HT15+HV15+HX15+HZ15+IB15+ID15+IF15+IH15+IJ15</f>
        <v>#DIV/0!</v>
      </c>
      <c r="IM15" s="332" t="e">
        <f>IL15/$IL$7</f>
        <v>#DIV/0!</v>
      </c>
    </row>
    <row r="16" spans="2:247" ht="14.4" customHeight="1" x14ac:dyDescent="0.3">
      <c r="C16" s="44"/>
      <c r="D16" s="155"/>
      <c r="L16" s="16">
        <v>0.45</v>
      </c>
      <c r="M16" s="13" t="s">
        <v>323</v>
      </c>
      <c r="P16" s="14" t="s">
        <v>348</v>
      </c>
      <c r="Q16" s="48">
        <f>AVERAGE(Q12:Q15)</f>
        <v>0.64687499999999998</v>
      </c>
      <c r="R16" s="13" t="s">
        <v>349</v>
      </c>
      <c r="W16" s="336" t="str">
        <f t="shared" si="53"/>
        <v>Diciembre</v>
      </c>
      <c r="X16" s="335" t="e">
        <f t="shared" si="67"/>
        <v>#DIV/0!</v>
      </c>
      <c r="Y16" s="336" t="s">
        <v>10</v>
      </c>
      <c r="Z16" s="337">
        <f t="shared" si="47"/>
        <v>0</v>
      </c>
      <c r="AA16" s="338">
        <f t="shared" si="18"/>
        <v>0</v>
      </c>
      <c r="AB16" s="339">
        <f t="shared" si="48"/>
        <v>0</v>
      </c>
      <c r="AC16" s="339">
        <f t="shared" si="37"/>
        <v>0</v>
      </c>
      <c r="AD16" s="340">
        <f t="shared" si="38"/>
        <v>1</v>
      </c>
      <c r="AE16" s="341">
        <f t="shared" si="39"/>
        <v>0</v>
      </c>
      <c r="AF16" s="342">
        <f t="shared" si="49"/>
        <v>0</v>
      </c>
      <c r="AG16" s="343">
        <f t="shared" si="40"/>
        <v>0</v>
      </c>
      <c r="AH16" s="344">
        <f t="shared" si="41"/>
        <v>0</v>
      </c>
      <c r="AI16" s="338">
        <f t="shared" si="42"/>
        <v>0</v>
      </c>
      <c r="AJ16" s="345" t="e">
        <f t="shared" si="43"/>
        <v>#DIV/0!</v>
      </c>
      <c r="AK16" s="346" t="e">
        <f t="shared" si="44"/>
        <v>#DIV/0!</v>
      </c>
      <c r="AM16" s="368">
        <f t="shared" si="5"/>
        <v>0</v>
      </c>
      <c r="AN16" s="368">
        <f t="shared" si="6"/>
        <v>0</v>
      </c>
      <c r="AO16" s="368">
        <f t="shared" si="7"/>
        <v>0</v>
      </c>
      <c r="AP16" s="368">
        <f t="shared" si="8"/>
        <v>0</v>
      </c>
      <c r="AQ16" s="369" t="s">
        <v>780</v>
      </c>
      <c r="AR16" s="297">
        <f t="shared" si="9"/>
        <v>0</v>
      </c>
      <c r="AS16" s="370" t="e">
        <f t="shared" si="2"/>
        <v>#DIV/0!</v>
      </c>
      <c r="AT16" s="525" t="e">
        <f>SUM(AS16:AS26)</f>
        <v>#DIV/0!</v>
      </c>
      <c r="AU16" s="525" t="s">
        <v>307</v>
      </c>
      <c r="AV16" s="299">
        <v>0</v>
      </c>
      <c r="AW16" s="300">
        <v>0</v>
      </c>
      <c r="AX16" s="301"/>
      <c r="AY16" s="302" t="str">
        <f t="shared" si="10"/>
        <v>Febrero</v>
      </c>
      <c r="AZ16" s="303">
        <f>Tabla2[[#Totals],[Columna15]]</f>
        <v>0</v>
      </c>
      <c r="BA16" s="303" t="e">
        <f>Tabla29[[#Totals],[Columna15]]</f>
        <v>#DIV/0!</v>
      </c>
      <c r="BB16" s="303" t="e">
        <f>Tabla292[[#Totals],[Columna15]]</f>
        <v>#DIV/0!</v>
      </c>
      <c r="BC16" s="303" t="e">
        <f>Tabla2926[[#Totals],[Columna15]]</f>
        <v>#DIV/0!</v>
      </c>
      <c r="BD16" s="303" t="e">
        <f>Tabla29268[[#Totals],[Columna15]]</f>
        <v>#DIV/0!</v>
      </c>
      <c r="BE16" s="304" t="e">
        <f t="shared" si="11"/>
        <v>#DIV/0!</v>
      </c>
      <c r="BF16" s="305" t="e">
        <f t="shared" si="12"/>
        <v>#DIV/0!</v>
      </c>
      <c r="BH16" s="530"/>
      <c r="BI16" s="530"/>
      <c r="BJ16" s="350" t="e">
        <f>$AS$14</f>
        <v>#DIV/0!</v>
      </c>
      <c r="BK16" s="242" t="str">
        <f t="shared" si="19"/>
        <v>C9</v>
      </c>
      <c r="BL16" s="303">
        <f t="shared" si="20"/>
        <v>0</v>
      </c>
      <c r="BM16" s="303">
        <f t="shared" si="20"/>
        <v>0</v>
      </c>
      <c r="BN16" s="303">
        <f t="shared" si="20"/>
        <v>0</v>
      </c>
      <c r="BO16" s="303">
        <f t="shared" si="21"/>
        <v>0</v>
      </c>
      <c r="BP16" s="303">
        <f t="shared" si="22"/>
        <v>0</v>
      </c>
      <c r="BQ16" s="303">
        <f t="shared" si="23"/>
        <v>0</v>
      </c>
      <c r="BR16" s="303">
        <f t="shared" si="24"/>
        <v>0</v>
      </c>
      <c r="BS16" s="303">
        <f t="shared" si="25"/>
        <v>0</v>
      </c>
      <c r="BT16" s="303">
        <f t="shared" si="26"/>
        <v>0</v>
      </c>
      <c r="BU16" s="303">
        <f t="shared" si="27"/>
        <v>0</v>
      </c>
      <c r="BV16" s="303">
        <f t="shared" si="28"/>
        <v>0</v>
      </c>
      <c r="BW16" s="303">
        <f t="shared" si="29"/>
        <v>0</v>
      </c>
      <c r="BX16" s="303">
        <f t="shared" si="30"/>
        <v>0</v>
      </c>
      <c r="BY16" s="303">
        <f t="shared" si="31"/>
        <v>0</v>
      </c>
      <c r="BZ16" s="303">
        <f t="shared" si="32"/>
        <v>0</v>
      </c>
      <c r="CB16" s="530"/>
      <c r="CC16" s="530"/>
      <c r="CD16" s="350" t="e">
        <f>$AS$14</f>
        <v>#DIV/0!</v>
      </c>
      <c r="CE16" s="242" t="str">
        <f>Tabla2[[#This Row],[Columna1]]</f>
        <v>C9</v>
      </c>
      <c r="CF16" s="303">
        <f>Tabla29[[#This Row],[Columna3]]/7</f>
        <v>0</v>
      </c>
      <c r="CG16" s="303">
        <f>Tabla29[[#This Row],[Columna4]]/4.2</f>
        <v>0</v>
      </c>
      <c r="CH16" s="303">
        <f>Tabla2[[#This Row],[Columna16]]</f>
        <v>0</v>
      </c>
      <c r="CI16" s="303" t="e">
        <f>(Tabla29[[#This Row],[Columna4]]*CI$5/$BZ$5)*$CH$4</f>
        <v>#DIV/0!</v>
      </c>
      <c r="CJ16" s="303" t="e">
        <f>(Tabla29[[#This Row],[Columna4]]*CJ$5/$BZ$5)*$CH$4</f>
        <v>#DIV/0!</v>
      </c>
      <c r="CK16" s="303" t="e">
        <f>(Tabla29[[#This Row],[Columna4]]*CK$5/$BZ$5)*$CH$4</f>
        <v>#DIV/0!</v>
      </c>
      <c r="CL16" s="303" t="e">
        <f>(Tabla29[[#This Row],[Columna4]]*CL$5/$BZ$5)*$CH$4</f>
        <v>#DIV/0!</v>
      </c>
      <c r="CM16" s="303" t="e">
        <f>(Tabla29[[#This Row],[Columna4]]*CM$5/$BZ$5)*$CH$4</f>
        <v>#DIV/0!</v>
      </c>
      <c r="CN16" s="303" t="e">
        <f>(Tabla29[[#This Row],[Columna4]]*CN$5/$BZ$5)*$CH$4</f>
        <v>#DIV/0!</v>
      </c>
      <c r="CO16" s="303" t="e">
        <f>(Tabla29[[#This Row],[Columna4]]*CO$5/$BZ$5)*$CH$4</f>
        <v>#DIV/0!</v>
      </c>
      <c r="CP16" s="303" t="e">
        <f>(Tabla29[[#This Row],[Columna4]]*CP$5/$BZ$5)*$CH$4</f>
        <v>#DIV/0!</v>
      </c>
      <c r="CQ16" s="303" t="e">
        <f>(Tabla29[[#This Row],[Columna4]]*CQ$5/$BZ$5)*$CH$4</f>
        <v>#DIV/0!</v>
      </c>
      <c r="CR16" s="303" t="e">
        <f>(Tabla29[[#This Row],[Columna4]]*CR$5/$BZ$5)*$CH$4</f>
        <v>#DIV/0!</v>
      </c>
      <c r="CS16" s="303" t="e">
        <f>(Tabla29[[#This Row],[Columna4]]*CS$5/$BZ$5)*$CH$4</f>
        <v>#DIV/0!</v>
      </c>
      <c r="CT16" s="303" t="e">
        <f>(Tabla29[[#This Row],[Columna4]]*CT$5/$BZ$5)*$CH$4</f>
        <v>#DIV/0!</v>
      </c>
      <c r="CV16" s="530"/>
      <c r="CW16" s="530"/>
      <c r="CX16" s="350" t="e">
        <f>$AS$14</f>
        <v>#DIV/0!</v>
      </c>
      <c r="CY16" s="242" t="str">
        <f>Tabla2[[#This Row],[Columna1]]</f>
        <v>C9</v>
      </c>
      <c r="CZ16" s="303" t="e">
        <f>Tabla292[[#This Row],[Columna3]]/7</f>
        <v>#DIV/0!</v>
      </c>
      <c r="DA16" s="303" t="e">
        <f>Tabla292[[#This Row],[Columna4]]/4.2</f>
        <v>#DIV/0!</v>
      </c>
      <c r="DB16" s="303" t="e">
        <f>Tabla29[[#This Row],[Columna16]]</f>
        <v>#DIV/0!</v>
      </c>
      <c r="DC16" s="303" t="e">
        <f>(Tabla292[[#This Row],[Columna4]]*DC$5/$CT$5)*$DB$4</f>
        <v>#DIV/0!</v>
      </c>
      <c r="DD16" s="303" t="e">
        <f>(Tabla292[[#This Row],[Columna4]]*DD$5/$CT$5)*$DB$4</f>
        <v>#DIV/0!</v>
      </c>
      <c r="DE16" s="303" t="e">
        <f>(Tabla292[[#This Row],[Columna4]]*DE$5/$CT$5)*$DB$4</f>
        <v>#DIV/0!</v>
      </c>
      <c r="DF16" s="303" t="e">
        <f>(Tabla292[[#This Row],[Columna4]]*DF$5/$CT$5)*$DB$4</f>
        <v>#DIV/0!</v>
      </c>
      <c r="DG16" s="303" t="e">
        <f>(Tabla292[[#This Row],[Columna4]]*DG$5/$CT$5)*$DB$4</f>
        <v>#DIV/0!</v>
      </c>
      <c r="DH16" s="303" t="e">
        <f>(Tabla292[[#This Row],[Columna4]]*DH$5/$CT$5)*$DB$4</f>
        <v>#DIV/0!</v>
      </c>
      <c r="DI16" s="303" t="e">
        <f>(Tabla292[[#This Row],[Columna4]]*DI$5/$CT$5)*$DB$4</f>
        <v>#DIV/0!</v>
      </c>
      <c r="DJ16" s="303" t="e">
        <f>(Tabla292[[#This Row],[Columna4]]*DJ$5/$CT$5)*$DB$4</f>
        <v>#DIV/0!</v>
      </c>
      <c r="DK16" s="303" t="e">
        <f>(Tabla292[[#This Row],[Columna4]]*DK$5/$CT$5)*$DB$4</f>
        <v>#DIV/0!</v>
      </c>
      <c r="DL16" s="303" t="e">
        <f>(Tabla292[[#This Row],[Columna4]]*DL$5/$CT$5)*$DB$4</f>
        <v>#DIV/0!</v>
      </c>
      <c r="DM16" s="303" t="e">
        <f>(Tabla292[[#This Row],[Columna4]]*DM$5/$CT$5)*$DB$4</f>
        <v>#DIV/0!</v>
      </c>
      <c r="DN16" s="303" t="e">
        <f>(Tabla292[[#This Row],[Columna4]]*DN$5/$CT$5)*$DB$4</f>
        <v>#DIV/0!</v>
      </c>
      <c r="DP16" s="530"/>
      <c r="DQ16" s="530"/>
      <c r="DR16" s="350" t="e">
        <f>$AS$14</f>
        <v>#DIV/0!</v>
      </c>
      <c r="DS16" s="242" t="str">
        <f>Tabla2[[#This Row],[Columna1]]</f>
        <v>C9</v>
      </c>
      <c r="DT16" s="303" t="e">
        <f>Tabla2926[[#This Row],[Columna3]]/7</f>
        <v>#DIV/0!</v>
      </c>
      <c r="DU16" s="303" t="e">
        <f>Tabla2926[[#This Row],[Columna4]]/4.2</f>
        <v>#DIV/0!</v>
      </c>
      <c r="DV16" s="303" t="e">
        <f>Tabla292[[#This Row],[Columna16]]</f>
        <v>#DIV/0!</v>
      </c>
      <c r="DW16" s="303" t="e">
        <f>(Tabla2926[[#This Row],[Columna4]]*DW$5/$DN$5)*$DV$4</f>
        <v>#DIV/0!</v>
      </c>
      <c r="DX16" s="303" t="e">
        <f>(Tabla2926[[#This Row],[Columna4]]*DX$5/$DN$5)*$DV$4</f>
        <v>#DIV/0!</v>
      </c>
      <c r="DY16" s="303" t="e">
        <f>(Tabla2926[[#This Row],[Columna4]]*DY$5/$DN$5)*$DV$4</f>
        <v>#DIV/0!</v>
      </c>
      <c r="DZ16" s="303" t="e">
        <f>(Tabla2926[[#This Row],[Columna4]]*DZ$5/$DN$5)*$DV$4</f>
        <v>#DIV/0!</v>
      </c>
      <c r="EA16" s="303" t="e">
        <f>(Tabla2926[[#This Row],[Columna4]]*EA$5/$DN$5)*$DV$4</f>
        <v>#DIV/0!</v>
      </c>
      <c r="EB16" s="303" t="e">
        <f>(Tabla2926[[#This Row],[Columna4]]*EB$5/$DN$5)*$DV$4</f>
        <v>#DIV/0!</v>
      </c>
      <c r="EC16" s="303" t="e">
        <f>(Tabla2926[[#This Row],[Columna4]]*EC$5/$DN$5)*$DV$4</f>
        <v>#DIV/0!</v>
      </c>
      <c r="ED16" s="303" t="e">
        <f>(Tabla2926[[#This Row],[Columna4]]*ED$5/$DN$5)*$DV$4</f>
        <v>#DIV/0!</v>
      </c>
      <c r="EE16" s="303" t="e">
        <f>(Tabla2926[[#This Row],[Columna4]]*EE$5/$DN$5)*$DV$4</f>
        <v>#DIV/0!</v>
      </c>
      <c r="EF16" s="303" t="e">
        <f>(Tabla2926[[#This Row],[Columna4]]*EF$5/$DN$5)*$DV$4</f>
        <v>#DIV/0!</v>
      </c>
      <c r="EG16" s="303" t="e">
        <f>(Tabla2926[[#This Row],[Columna4]]*EG$5/$DN$5)*$DV$4</f>
        <v>#DIV/0!</v>
      </c>
      <c r="EH16" s="303" t="e">
        <f>(Tabla2926[[#This Row],[Columna4]]*EH$5/$DN$5)*$DV$4</f>
        <v>#DIV/0!</v>
      </c>
      <c r="EJ16" s="530"/>
      <c r="EK16" s="530"/>
      <c r="EL16" s="350" t="e">
        <f>$AS$14</f>
        <v>#DIV/0!</v>
      </c>
      <c r="EM16" s="242" t="str">
        <f>Tabla2[[#This Row],[Columna1]]</f>
        <v>C9</v>
      </c>
      <c r="EN16" s="303" t="e">
        <f>Tabla29268[[#This Row],[Columna3]]/7</f>
        <v>#DIV/0!</v>
      </c>
      <c r="EO16" s="303" t="e">
        <f>Tabla29268[[#This Row],[Columna4]]/4.2</f>
        <v>#DIV/0!</v>
      </c>
      <c r="EP16" s="303" t="e">
        <f>Tabla2926[[#This Row],[Columna16]]</f>
        <v>#DIV/0!</v>
      </c>
      <c r="EQ16" s="303" t="e">
        <f>(Tabla29268[[#This Row],[Columna4]]*EQ$5/$EH$5)*$EP$4</f>
        <v>#DIV/0!</v>
      </c>
      <c r="ER16" s="303" t="e">
        <f>(Tabla29268[[#This Row],[Columna4]]*ER$5/$EH$5)*$EP$4</f>
        <v>#DIV/0!</v>
      </c>
      <c r="ES16" s="303" t="e">
        <f>(Tabla29268[[#This Row],[Columna4]]*ES$5/$EH$5)*$EP$4</f>
        <v>#DIV/0!</v>
      </c>
      <c r="ET16" s="303" t="e">
        <f>(Tabla29268[[#This Row],[Columna4]]*ET$5/$EH$5)*$EP$4</f>
        <v>#DIV/0!</v>
      </c>
      <c r="EU16" s="303" t="e">
        <f>(Tabla29268[[#This Row],[Columna4]]*EU$5/$EH$5)*$EP$4</f>
        <v>#DIV/0!</v>
      </c>
      <c r="EV16" s="303" t="e">
        <f>(Tabla29268[[#This Row],[Columna4]]*EV$5/$EH$5)*$EP$4</f>
        <v>#DIV/0!</v>
      </c>
      <c r="EW16" s="303" t="e">
        <f>(Tabla29268[[#This Row],[Columna4]]*EW$5/$EH$5)*$EP$4</f>
        <v>#DIV/0!</v>
      </c>
      <c r="EX16" s="303" t="e">
        <f>(Tabla29268[[#This Row],[Columna4]]*EX$5/$EH$5)*$EP$4</f>
        <v>#DIV/0!</v>
      </c>
      <c r="EY16" s="303" t="e">
        <f>(Tabla29268[[#This Row],[Columna4]]*EY$5/$EH$5)*$EP$4</f>
        <v>#DIV/0!</v>
      </c>
      <c r="EZ16" s="303" t="e">
        <f>(Tabla29268[[#This Row],[Columna4]]*EZ$5/$EH$5)*$EP$4</f>
        <v>#DIV/0!</v>
      </c>
      <c r="FA16" s="303" t="e">
        <f>(Tabla29268[[#This Row],[Columna4]]*FA$5/$EH$5)*$EP$4</f>
        <v>#DIV/0!</v>
      </c>
      <c r="FB16" s="303" t="e">
        <f>(Tabla29268[[#This Row],[Columna4]]*FB$5/$EH$5)*$EP$4</f>
        <v>#DIV/0!</v>
      </c>
      <c r="FE16" s="361"/>
      <c r="FF16" s="362"/>
      <c r="FG16" s="362"/>
      <c r="FH16" s="362"/>
      <c r="FI16" s="362"/>
      <c r="FJ16" s="362"/>
      <c r="FK16" s="362"/>
      <c r="FL16" s="362"/>
      <c r="FM16" s="362"/>
      <c r="FN16" s="362"/>
      <c r="FO16" s="362"/>
      <c r="FP16" s="362"/>
      <c r="FQ16" s="362"/>
      <c r="FR16" s="363"/>
      <c r="FS16" s="364"/>
      <c r="FV16" s="361"/>
      <c r="FW16" s="362"/>
      <c r="FX16" s="362"/>
      <c r="FY16" s="362"/>
      <c r="FZ16" s="362"/>
      <c r="GA16" s="362"/>
      <c r="GB16" s="362"/>
      <c r="GC16" s="362"/>
      <c r="GD16" s="362"/>
      <c r="GE16" s="362"/>
      <c r="GF16" s="362"/>
      <c r="GG16" s="362"/>
      <c r="GH16" s="362"/>
      <c r="GI16" s="362"/>
      <c r="GJ16" s="365"/>
      <c r="GL16" s="250">
        <f>GL14+1</f>
        <v>8</v>
      </c>
      <c r="GM16" s="352" t="s">
        <v>460</v>
      </c>
      <c r="GN16" s="353">
        <f>FF111</f>
        <v>0</v>
      </c>
      <c r="GO16" s="353">
        <f t="shared" ref="GO16:GY16" si="90">FG111</f>
        <v>0</v>
      </c>
      <c r="GP16" s="353">
        <f t="shared" si="90"/>
        <v>0</v>
      </c>
      <c r="GQ16" s="353">
        <f t="shared" si="90"/>
        <v>0</v>
      </c>
      <c r="GR16" s="353">
        <f t="shared" si="90"/>
        <v>0</v>
      </c>
      <c r="GS16" s="353">
        <f t="shared" si="90"/>
        <v>0</v>
      </c>
      <c r="GT16" s="353">
        <f t="shared" si="90"/>
        <v>0</v>
      </c>
      <c r="GU16" s="353">
        <f t="shared" si="90"/>
        <v>0</v>
      </c>
      <c r="GV16" s="353">
        <f t="shared" si="90"/>
        <v>0</v>
      </c>
      <c r="GW16" s="353">
        <f t="shared" si="90"/>
        <v>0</v>
      </c>
      <c r="GX16" s="353">
        <f t="shared" si="90"/>
        <v>0</v>
      </c>
      <c r="GY16" s="353">
        <f t="shared" si="90"/>
        <v>0</v>
      </c>
      <c r="GZ16" s="328">
        <f>SUM(GN16:GY16)</f>
        <v>0</v>
      </c>
      <c r="HA16" s="329" t="e">
        <f t="shared" si="55"/>
        <v>#DIV/0!</v>
      </c>
      <c r="HD16" s="65" t="s">
        <v>781</v>
      </c>
      <c r="HE16" s="66">
        <v>0</v>
      </c>
      <c r="HF16" s="67">
        <f t="shared" si="77"/>
        <v>0</v>
      </c>
      <c r="HG16" s="68">
        <f t="shared" si="78"/>
        <v>0</v>
      </c>
      <c r="HH16" s="69">
        <v>1</v>
      </c>
      <c r="HI16" s="367">
        <v>0</v>
      </c>
      <c r="HJ16" s="140"/>
      <c r="HK16" s="136">
        <f>HH80-HH86-HF59-HF61-HF62-HF63-HF64-HF65</f>
        <v>-1</v>
      </c>
      <c r="HM16" s="356"/>
      <c r="HN16" s="316"/>
      <c r="HO16" s="371"/>
      <c r="HP16" s="316"/>
      <c r="HQ16" s="371"/>
      <c r="HR16" s="316"/>
      <c r="HS16" s="371"/>
      <c r="HT16" s="316"/>
      <c r="HU16" s="371"/>
      <c r="HV16" s="316"/>
      <c r="HW16" s="371"/>
      <c r="HX16" s="316"/>
      <c r="HY16" s="371"/>
      <c r="HZ16" s="316"/>
      <c r="IA16" s="371"/>
      <c r="IB16" s="316"/>
      <c r="IC16" s="371"/>
      <c r="ID16" s="316"/>
      <c r="IE16" s="371"/>
      <c r="IF16" s="316"/>
      <c r="IG16" s="371"/>
      <c r="IH16" s="316"/>
      <c r="II16" s="371"/>
      <c r="IJ16" s="316"/>
      <c r="IK16" s="371"/>
      <c r="IL16" s="288"/>
      <c r="IM16" s="371"/>
    </row>
    <row r="17" spans="2:247" ht="14.4" customHeight="1" x14ac:dyDescent="0.3">
      <c r="D17" s="543" t="s">
        <v>767</v>
      </c>
      <c r="E17" s="543"/>
      <c r="F17" s="543"/>
      <c r="L17" s="16">
        <v>0.55000000000000004</v>
      </c>
      <c r="M17" s="13" t="s">
        <v>320</v>
      </c>
      <c r="N17" s="13"/>
      <c r="P17" s="14" t="s">
        <v>352</v>
      </c>
      <c r="Q17" s="48">
        <v>1.2</v>
      </c>
      <c r="R17" s="13" t="s">
        <v>349</v>
      </c>
      <c r="W17" s="336" t="str">
        <f t="shared" si="53"/>
        <v>Enero</v>
      </c>
      <c r="X17" s="335" t="e">
        <f t="shared" si="67"/>
        <v>#DIV/0!</v>
      </c>
      <c r="Y17" s="336" t="s">
        <v>11</v>
      </c>
      <c r="Z17" s="337">
        <f t="shared" si="47"/>
        <v>0</v>
      </c>
      <c r="AA17" s="338">
        <f t="shared" si="18"/>
        <v>0</v>
      </c>
      <c r="AB17" s="339">
        <f t="shared" si="48"/>
        <v>0</v>
      </c>
      <c r="AC17" s="339">
        <f t="shared" si="37"/>
        <v>0</v>
      </c>
      <c r="AD17" s="340">
        <f t="shared" si="38"/>
        <v>1</v>
      </c>
      <c r="AE17" s="341">
        <f t="shared" si="39"/>
        <v>0</v>
      </c>
      <c r="AF17" s="342">
        <f t="shared" si="49"/>
        <v>0</v>
      </c>
      <c r="AG17" s="343">
        <f t="shared" si="40"/>
        <v>0</v>
      </c>
      <c r="AH17" s="344">
        <f t="shared" si="41"/>
        <v>0</v>
      </c>
      <c r="AI17" s="338">
        <f t="shared" si="42"/>
        <v>0</v>
      </c>
      <c r="AJ17" s="345" t="e">
        <f t="shared" si="43"/>
        <v>#DIV/0!</v>
      </c>
      <c r="AK17" s="346" t="e">
        <f t="shared" si="44"/>
        <v>#DIV/0!</v>
      </c>
      <c r="AM17" s="368">
        <f t="shared" si="5"/>
        <v>0</v>
      </c>
      <c r="AN17" s="368">
        <f t="shared" si="6"/>
        <v>0</v>
      </c>
      <c r="AO17" s="368">
        <f t="shared" si="7"/>
        <v>0</v>
      </c>
      <c r="AP17" s="368">
        <f t="shared" si="8"/>
        <v>0</v>
      </c>
      <c r="AQ17" s="369" t="s">
        <v>782</v>
      </c>
      <c r="AR17" s="297">
        <f t="shared" si="9"/>
        <v>0</v>
      </c>
      <c r="AS17" s="370" t="e">
        <f t="shared" si="2"/>
        <v>#DIV/0!</v>
      </c>
      <c r="AT17" s="525"/>
      <c r="AU17" s="525"/>
      <c r="AV17" s="299">
        <v>0</v>
      </c>
      <c r="AW17" s="300">
        <v>0</v>
      </c>
      <c r="AX17" s="301"/>
      <c r="AY17" s="302" t="str">
        <f t="shared" si="10"/>
        <v>Marzo</v>
      </c>
      <c r="AZ17" s="303">
        <f>Tabla2[[#Totals],[Columna16]]</f>
        <v>0</v>
      </c>
      <c r="BA17" s="303" t="e">
        <f>Tabla29[[#Totals],[Columna16]]</f>
        <v>#DIV/0!</v>
      </c>
      <c r="BB17" s="303" t="e">
        <f>Tabla292[[#Totals],[Columna16]]</f>
        <v>#DIV/0!</v>
      </c>
      <c r="BC17" s="303" t="e">
        <f>Tabla2926[[#Totals],[Columna16]]</f>
        <v>#DIV/0!</v>
      </c>
      <c r="BD17" s="303" t="e">
        <f>Tabla29268[[#Totals],[Columna16]]</f>
        <v>#DIV/0!</v>
      </c>
      <c r="BE17" s="304" t="e">
        <f t="shared" si="11"/>
        <v>#DIV/0!</v>
      </c>
      <c r="BF17" s="305" t="e">
        <f t="shared" si="12"/>
        <v>#DIV/0!</v>
      </c>
      <c r="BH17" s="530"/>
      <c r="BI17" s="530"/>
      <c r="BJ17" s="350" t="e">
        <f>$AS$15</f>
        <v>#DIV/0!</v>
      </c>
      <c r="BK17" s="242" t="str">
        <f t="shared" si="19"/>
        <v>C10</v>
      </c>
      <c r="BL17" s="303">
        <f t="shared" si="20"/>
        <v>0</v>
      </c>
      <c r="BM17" s="303">
        <f t="shared" si="20"/>
        <v>0</v>
      </c>
      <c r="BN17" s="303">
        <f t="shared" si="20"/>
        <v>0</v>
      </c>
      <c r="BO17" s="303">
        <f t="shared" si="21"/>
        <v>0</v>
      </c>
      <c r="BP17" s="303">
        <f t="shared" si="22"/>
        <v>0</v>
      </c>
      <c r="BQ17" s="303">
        <f t="shared" si="23"/>
        <v>0</v>
      </c>
      <c r="BR17" s="303">
        <f t="shared" si="24"/>
        <v>0</v>
      </c>
      <c r="BS17" s="303">
        <f t="shared" si="25"/>
        <v>0</v>
      </c>
      <c r="BT17" s="303">
        <f t="shared" si="26"/>
        <v>0</v>
      </c>
      <c r="BU17" s="303">
        <f t="shared" si="27"/>
        <v>0</v>
      </c>
      <c r="BV17" s="303">
        <f t="shared" si="28"/>
        <v>0</v>
      </c>
      <c r="BW17" s="303">
        <f t="shared" si="29"/>
        <v>0</v>
      </c>
      <c r="BX17" s="303">
        <f t="shared" si="30"/>
        <v>0</v>
      </c>
      <c r="BY17" s="303">
        <f t="shared" si="31"/>
        <v>0</v>
      </c>
      <c r="BZ17" s="303">
        <f t="shared" si="32"/>
        <v>0</v>
      </c>
      <c r="CB17" s="530"/>
      <c r="CC17" s="530"/>
      <c r="CD17" s="350" t="e">
        <f>$AS$15</f>
        <v>#DIV/0!</v>
      </c>
      <c r="CE17" s="242" t="str">
        <f>Tabla2[[#This Row],[Columna1]]</f>
        <v>C10</v>
      </c>
      <c r="CF17" s="303">
        <f>Tabla29[[#This Row],[Columna3]]/7</f>
        <v>0</v>
      </c>
      <c r="CG17" s="303">
        <f>Tabla29[[#This Row],[Columna4]]/4.2</f>
        <v>0</v>
      </c>
      <c r="CH17" s="303">
        <f>Tabla2[[#This Row],[Columna16]]</f>
        <v>0</v>
      </c>
      <c r="CI17" s="303" t="e">
        <f>(Tabla29[[#This Row],[Columna4]]*CI$5/$BZ$5)*$CH$4</f>
        <v>#DIV/0!</v>
      </c>
      <c r="CJ17" s="303" t="e">
        <f>(Tabla29[[#This Row],[Columna4]]*CJ$5/$BZ$5)*$CH$4</f>
        <v>#DIV/0!</v>
      </c>
      <c r="CK17" s="303" t="e">
        <f>(Tabla29[[#This Row],[Columna4]]*CK$5/$BZ$5)*$CH$4</f>
        <v>#DIV/0!</v>
      </c>
      <c r="CL17" s="303" t="e">
        <f>(Tabla29[[#This Row],[Columna4]]*CL$5/$BZ$5)*$CH$4</f>
        <v>#DIV/0!</v>
      </c>
      <c r="CM17" s="303" t="e">
        <f>(Tabla29[[#This Row],[Columna4]]*CM$5/$BZ$5)*$CH$4</f>
        <v>#DIV/0!</v>
      </c>
      <c r="CN17" s="303" t="e">
        <f>(Tabla29[[#This Row],[Columna4]]*CN$5/$BZ$5)*$CH$4</f>
        <v>#DIV/0!</v>
      </c>
      <c r="CO17" s="303" t="e">
        <f>(Tabla29[[#This Row],[Columna4]]*CO$5/$BZ$5)*$CH$4</f>
        <v>#DIV/0!</v>
      </c>
      <c r="CP17" s="303" t="e">
        <f>(Tabla29[[#This Row],[Columna4]]*CP$5/$BZ$5)*$CH$4</f>
        <v>#DIV/0!</v>
      </c>
      <c r="CQ17" s="303" t="e">
        <f>(Tabla29[[#This Row],[Columna4]]*CQ$5/$BZ$5)*$CH$4</f>
        <v>#DIV/0!</v>
      </c>
      <c r="CR17" s="303" t="e">
        <f>(Tabla29[[#This Row],[Columna4]]*CR$5/$BZ$5)*$CH$4</f>
        <v>#DIV/0!</v>
      </c>
      <c r="CS17" s="303" t="e">
        <f>(Tabla29[[#This Row],[Columna4]]*CS$5/$BZ$5)*$CH$4</f>
        <v>#DIV/0!</v>
      </c>
      <c r="CT17" s="303" t="e">
        <f>(Tabla29[[#This Row],[Columna4]]*CT$5/$BZ$5)*$CH$4</f>
        <v>#DIV/0!</v>
      </c>
      <c r="CV17" s="530"/>
      <c r="CW17" s="530"/>
      <c r="CX17" s="350" t="e">
        <f>$AS$15</f>
        <v>#DIV/0!</v>
      </c>
      <c r="CY17" s="242" t="str">
        <f>Tabla2[[#This Row],[Columna1]]</f>
        <v>C10</v>
      </c>
      <c r="CZ17" s="303" t="e">
        <f>Tabla292[[#This Row],[Columna3]]/7</f>
        <v>#DIV/0!</v>
      </c>
      <c r="DA17" s="303" t="e">
        <f>Tabla292[[#This Row],[Columna4]]/4.2</f>
        <v>#DIV/0!</v>
      </c>
      <c r="DB17" s="303" t="e">
        <f>Tabla29[[#This Row],[Columna16]]</f>
        <v>#DIV/0!</v>
      </c>
      <c r="DC17" s="303" t="e">
        <f>(Tabla292[[#This Row],[Columna4]]*DC$5/$CT$5)*$DB$4</f>
        <v>#DIV/0!</v>
      </c>
      <c r="DD17" s="303" t="e">
        <f>(Tabla292[[#This Row],[Columna4]]*DD$5/$CT$5)*$DB$4</f>
        <v>#DIV/0!</v>
      </c>
      <c r="DE17" s="303" t="e">
        <f>(Tabla292[[#This Row],[Columna4]]*DE$5/$CT$5)*$DB$4</f>
        <v>#DIV/0!</v>
      </c>
      <c r="DF17" s="303" t="e">
        <f>(Tabla292[[#This Row],[Columna4]]*DF$5/$CT$5)*$DB$4</f>
        <v>#DIV/0!</v>
      </c>
      <c r="DG17" s="303" t="e">
        <f>(Tabla292[[#This Row],[Columna4]]*DG$5/$CT$5)*$DB$4</f>
        <v>#DIV/0!</v>
      </c>
      <c r="DH17" s="303" t="e">
        <f>(Tabla292[[#This Row],[Columna4]]*DH$5/$CT$5)*$DB$4</f>
        <v>#DIV/0!</v>
      </c>
      <c r="DI17" s="303" t="e">
        <f>(Tabla292[[#This Row],[Columna4]]*DI$5/$CT$5)*$DB$4</f>
        <v>#DIV/0!</v>
      </c>
      <c r="DJ17" s="303" t="e">
        <f>(Tabla292[[#This Row],[Columna4]]*DJ$5/$CT$5)*$DB$4</f>
        <v>#DIV/0!</v>
      </c>
      <c r="DK17" s="303" t="e">
        <f>(Tabla292[[#This Row],[Columna4]]*DK$5/$CT$5)*$DB$4</f>
        <v>#DIV/0!</v>
      </c>
      <c r="DL17" s="303" t="e">
        <f>(Tabla292[[#This Row],[Columna4]]*DL$5/$CT$5)*$DB$4</f>
        <v>#DIV/0!</v>
      </c>
      <c r="DM17" s="303" t="e">
        <f>(Tabla292[[#This Row],[Columna4]]*DM$5/$CT$5)*$DB$4</f>
        <v>#DIV/0!</v>
      </c>
      <c r="DN17" s="303" t="e">
        <f>(Tabla292[[#This Row],[Columna4]]*DN$5/$CT$5)*$DB$4</f>
        <v>#DIV/0!</v>
      </c>
      <c r="DP17" s="530"/>
      <c r="DQ17" s="530"/>
      <c r="DR17" s="350" t="e">
        <f>$AS$15</f>
        <v>#DIV/0!</v>
      </c>
      <c r="DS17" s="242" t="str">
        <f>Tabla2[[#This Row],[Columna1]]</f>
        <v>C10</v>
      </c>
      <c r="DT17" s="303" t="e">
        <f>Tabla2926[[#This Row],[Columna3]]/7</f>
        <v>#DIV/0!</v>
      </c>
      <c r="DU17" s="303" t="e">
        <f>Tabla2926[[#This Row],[Columna4]]/4.2</f>
        <v>#DIV/0!</v>
      </c>
      <c r="DV17" s="303" t="e">
        <f>Tabla292[[#This Row],[Columna16]]</f>
        <v>#DIV/0!</v>
      </c>
      <c r="DW17" s="303" t="e">
        <f>(Tabla2926[[#This Row],[Columna4]]*DW$5/$DN$5)*$DV$4</f>
        <v>#DIV/0!</v>
      </c>
      <c r="DX17" s="303" t="e">
        <f>(Tabla2926[[#This Row],[Columna4]]*DX$5/$DN$5)*$DV$4</f>
        <v>#DIV/0!</v>
      </c>
      <c r="DY17" s="303" t="e">
        <f>(Tabla2926[[#This Row],[Columna4]]*DY$5/$DN$5)*$DV$4</f>
        <v>#DIV/0!</v>
      </c>
      <c r="DZ17" s="303" t="e">
        <f>(Tabla2926[[#This Row],[Columna4]]*DZ$5/$DN$5)*$DV$4</f>
        <v>#DIV/0!</v>
      </c>
      <c r="EA17" s="303" t="e">
        <f>(Tabla2926[[#This Row],[Columna4]]*EA$5/$DN$5)*$DV$4</f>
        <v>#DIV/0!</v>
      </c>
      <c r="EB17" s="303" t="e">
        <f>(Tabla2926[[#This Row],[Columna4]]*EB$5/$DN$5)*$DV$4</f>
        <v>#DIV/0!</v>
      </c>
      <c r="EC17" s="303" t="e">
        <f>(Tabla2926[[#This Row],[Columna4]]*EC$5/$DN$5)*$DV$4</f>
        <v>#DIV/0!</v>
      </c>
      <c r="ED17" s="303" t="e">
        <f>(Tabla2926[[#This Row],[Columna4]]*ED$5/$DN$5)*$DV$4</f>
        <v>#DIV/0!</v>
      </c>
      <c r="EE17" s="303" t="e">
        <f>(Tabla2926[[#This Row],[Columna4]]*EE$5/$DN$5)*$DV$4</f>
        <v>#DIV/0!</v>
      </c>
      <c r="EF17" s="303" t="e">
        <f>(Tabla2926[[#This Row],[Columna4]]*EF$5/$DN$5)*$DV$4</f>
        <v>#DIV/0!</v>
      </c>
      <c r="EG17" s="303" t="e">
        <f>(Tabla2926[[#This Row],[Columna4]]*EG$5/$DN$5)*$DV$4</f>
        <v>#DIV/0!</v>
      </c>
      <c r="EH17" s="303" t="e">
        <f>(Tabla2926[[#This Row],[Columna4]]*EH$5/$DN$5)*$DV$4</f>
        <v>#DIV/0!</v>
      </c>
      <c r="EJ17" s="530"/>
      <c r="EK17" s="530"/>
      <c r="EL17" s="350" t="e">
        <f>$AS$15</f>
        <v>#DIV/0!</v>
      </c>
      <c r="EM17" s="242" t="str">
        <f>Tabla2[[#This Row],[Columna1]]</f>
        <v>C10</v>
      </c>
      <c r="EN17" s="303" t="e">
        <f>Tabla29268[[#This Row],[Columna3]]/7</f>
        <v>#DIV/0!</v>
      </c>
      <c r="EO17" s="303" t="e">
        <f>Tabla29268[[#This Row],[Columna4]]/4.2</f>
        <v>#DIV/0!</v>
      </c>
      <c r="EP17" s="303" t="e">
        <f>Tabla2926[[#This Row],[Columna16]]</f>
        <v>#DIV/0!</v>
      </c>
      <c r="EQ17" s="303" t="e">
        <f>(Tabla29268[[#This Row],[Columna4]]*EQ$5/$EH$5)*$EP$4</f>
        <v>#DIV/0!</v>
      </c>
      <c r="ER17" s="303" t="e">
        <f>(Tabla29268[[#This Row],[Columna4]]*ER$5/$EH$5)*$EP$4</f>
        <v>#DIV/0!</v>
      </c>
      <c r="ES17" s="303" t="e">
        <f>(Tabla29268[[#This Row],[Columna4]]*ES$5/$EH$5)*$EP$4</f>
        <v>#DIV/0!</v>
      </c>
      <c r="ET17" s="303" t="e">
        <f>(Tabla29268[[#This Row],[Columna4]]*ET$5/$EH$5)*$EP$4</f>
        <v>#DIV/0!</v>
      </c>
      <c r="EU17" s="303" t="e">
        <f>(Tabla29268[[#This Row],[Columna4]]*EU$5/$EH$5)*$EP$4</f>
        <v>#DIV/0!</v>
      </c>
      <c r="EV17" s="303" t="e">
        <f>(Tabla29268[[#This Row],[Columna4]]*EV$5/$EH$5)*$EP$4</f>
        <v>#DIV/0!</v>
      </c>
      <c r="EW17" s="303" t="e">
        <f>(Tabla29268[[#This Row],[Columna4]]*EW$5/$EH$5)*$EP$4</f>
        <v>#DIV/0!</v>
      </c>
      <c r="EX17" s="303" t="e">
        <f>(Tabla29268[[#This Row],[Columna4]]*EX$5/$EH$5)*$EP$4</f>
        <v>#DIV/0!</v>
      </c>
      <c r="EY17" s="303" t="e">
        <f>(Tabla29268[[#This Row],[Columna4]]*EY$5/$EH$5)*$EP$4</f>
        <v>#DIV/0!</v>
      </c>
      <c r="EZ17" s="303" t="e">
        <f>(Tabla29268[[#This Row],[Columna4]]*EZ$5/$EH$5)*$EP$4</f>
        <v>#DIV/0!</v>
      </c>
      <c r="FA17" s="303" t="e">
        <f>(Tabla29268[[#This Row],[Columna4]]*FA$5/$EH$5)*$EP$4</f>
        <v>#DIV/0!</v>
      </c>
      <c r="FB17" s="303" t="e">
        <f>(Tabla29268[[#This Row],[Columna4]]*FB$5/$EH$5)*$EP$4</f>
        <v>#DIV/0!</v>
      </c>
      <c r="FE17" s="357" t="s">
        <v>451</v>
      </c>
      <c r="FF17" s="358" t="e">
        <f>+FF13-FF15</f>
        <v>#DIV/0!</v>
      </c>
      <c r="FG17" s="358" t="e">
        <f t="shared" ref="FG17:FQ17" si="91">+FG13-FG15</f>
        <v>#DIV/0!</v>
      </c>
      <c r="FH17" s="358" t="e">
        <f t="shared" si="91"/>
        <v>#DIV/0!</v>
      </c>
      <c r="FI17" s="358" t="e">
        <f t="shared" si="91"/>
        <v>#DIV/0!</v>
      </c>
      <c r="FJ17" s="358" t="e">
        <f t="shared" si="91"/>
        <v>#DIV/0!</v>
      </c>
      <c r="FK17" s="358" t="e">
        <f t="shared" si="91"/>
        <v>#DIV/0!</v>
      </c>
      <c r="FL17" s="358" t="e">
        <f t="shared" si="91"/>
        <v>#DIV/0!</v>
      </c>
      <c r="FM17" s="358" t="e">
        <f t="shared" si="91"/>
        <v>#DIV/0!</v>
      </c>
      <c r="FN17" s="358" t="e">
        <f t="shared" si="91"/>
        <v>#DIV/0!</v>
      </c>
      <c r="FO17" s="358" t="e">
        <f t="shared" si="91"/>
        <v>#DIV/0!</v>
      </c>
      <c r="FP17" s="358" t="e">
        <f t="shared" si="91"/>
        <v>#DIV/0!</v>
      </c>
      <c r="FQ17" s="358" t="e">
        <f t="shared" si="91"/>
        <v>#DIV/0!</v>
      </c>
      <c r="FR17" s="359" t="e">
        <f t="shared" ref="FR17" si="92">SUM(FF17:FQ17)</f>
        <v>#DIV/0!</v>
      </c>
      <c r="FS17" s="260" t="e">
        <f>FR17/$FR$6</f>
        <v>#DIV/0!</v>
      </c>
      <c r="FT17" s="362"/>
      <c r="FV17" s="357" t="s">
        <v>451</v>
      </c>
      <c r="FW17" s="358" t="e">
        <f>+FW13-FW15</f>
        <v>#DIV/0!</v>
      </c>
      <c r="FX17" s="358" t="e">
        <f t="shared" ref="FX17:GH17" si="93">+FX13-FX15</f>
        <v>#DIV/0!</v>
      </c>
      <c r="FY17" s="358" t="e">
        <f t="shared" si="93"/>
        <v>#DIV/0!</v>
      </c>
      <c r="FZ17" s="358" t="e">
        <f t="shared" si="93"/>
        <v>#DIV/0!</v>
      </c>
      <c r="GA17" s="358" t="e">
        <f t="shared" si="93"/>
        <v>#DIV/0!</v>
      </c>
      <c r="GB17" s="358" t="e">
        <f t="shared" si="93"/>
        <v>#DIV/0!</v>
      </c>
      <c r="GC17" s="358" t="e">
        <f t="shared" si="93"/>
        <v>#DIV/0!</v>
      </c>
      <c r="GD17" s="358" t="e">
        <f t="shared" si="93"/>
        <v>#DIV/0!</v>
      </c>
      <c r="GE17" s="358" t="e">
        <f t="shared" si="93"/>
        <v>#DIV/0!</v>
      </c>
      <c r="GF17" s="358" t="e">
        <f t="shared" si="93"/>
        <v>#DIV/0!</v>
      </c>
      <c r="GG17" s="358" t="e">
        <f t="shared" si="93"/>
        <v>#DIV/0!</v>
      </c>
      <c r="GH17" s="358" t="e">
        <f t="shared" si="93"/>
        <v>#DIV/0!</v>
      </c>
      <c r="GI17" s="309" t="e">
        <f t="shared" ref="GI17" si="94">SUM(FW17:GH17)</f>
        <v>#DIV/0!</v>
      </c>
      <c r="GJ17" s="262" t="e">
        <f>GI17/$GI$6</f>
        <v>#DIV/0!</v>
      </c>
      <c r="GL17" s="250">
        <f>GL16+1</f>
        <v>9</v>
      </c>
      <c r="GM17" s="352" t="s">
        <v>461</v>
      </c>
      <c r="GN17" s="327">
        <f>FF15</f>
        <v>0</v>
      </c>
      <c r="GO17" s="327">
        <f t="shared" ref="GO17:GY17" si="95">FG15</f>
        <v>0</v>
      </c>
      <c r="GP17" s="327">
        <f t="shared" si="95"/>
        <v>0</v>
      </c>
      <c r="GQ17" s="327">
        <f t="shared" si="95"/>
        <v>0</v>
      </c>
      <c r="GR17" s="327">
        <f t="shared" si="95"/>
        <v>0</v>
      </c>
      <c r="GS17" s="327">
        <f t="shared" si="95"/>
        <v>0</v>
      </c>
      <c r="GT17" s="327">
        <f t="shared" si="95"/>
        <v>0</v>
      </c>
      <c r="GU17" s="327">
        <f t="shared" si="95"/>
        <v>0</v>
      </c>
      <c r="GV17" s="327">
        <f t="shared" si="95"/>
        <v>0</v>
      </c>
      <c r="GW17" s="327">
        <f t="shared" si="95"/>
        <v>0</v>
      </c>
      <c r="GX17" s="327">
        <f t="shared" si="95"/>
        <v>0</v>
      </c>
      <c r="GY17" s="327">
        <f t="shared" si="95"/>
        <v>0</v>
      </c>
      <c r="GZ17" s="328">
        <f>SUM(GN17:GY17)</f>
        <v>0</v>
      </c>
      <c r="HA17" s="329" t="e">
        <f t="shared" si="55"/>
        <v>#DIV/0!</v>
      </c>
      <c r="HD17" s="65" t="s">
        <v>783</v>
      </c>
      <c r="HE17" s="66">
        <v>0</v>
      </c>
      <c r="HF17" s="67">
        <f t="shared" si="77"/>
        <v>0</v>
      </c>
      <c r="HG17" s="68">
        <f t="shared" si="78"/>
        <v>0</v>
      </c>
      <c r="HH17" s="69">
        <v>1</v>
      </c>
      <c r="HI17" s="367">
        <v>0</v>
      </c>
      <c r="HJ17" s="140"/>
      <c r="HK17" s="90" t="s">
        <v>645</v>
      </c>
      <c r="HM17" s="330" t="s">
        <v>588</v>
      </c>
      <c r="HN17" s="331" t="e">
        <f>HN9-HN11-HN15</f>
        <v>#DIV/0!</v>
      </c>
      <c r="HO17" s="354" t="e">
        <f>HN17/HN$9</f>
        <v>#DIV/0!</v>
      </c>
      <c r="HP17" s="331" t="e">
        <f t="shared" ref="HP17" si="96">HP9-HP11-HP15</f>
        <v>#DIV/0!</v>
      </c>
      <c r="HQ17" s="354" t="e">
        <f t="shared" ref="HQ17" si="97">HP17/HP$9</f>
        <v>#DIV/0!</v>
      </c>
      <c r="HR17" s="331" t="e">
        <f t="shared" ref="HR17" si="98">HR9-HR11-HR15</f>
        <v>#DIV/0!</v>
      </c>
      <c r="HS17" s="354" t="e">
        <f t="shared" ref="HS17" si="99">HR17/HR$9</f>
        <v>#DIV/0!</v>
      </c>
      <c r="HT17" s="331" t="e">
        <f t="shared" ref="HT17" si="100">HT9-HT11-HT15</f>
        <v>#DIV/0!</v>
      </c>
      <c r="HU17" s="354" t="e">
        <f t="shared" ref="HU17" si="101">HT17/HT$9</f>
        <v>#DIV/0!</v>
      </c>
      <c r="HV17" s="331" t="e">
        <f t="shared" ref="HV17" si="102">HV9-HV11-HV15</f>
        <v>#DIV/0!</v>
      </c>
      <c r="HW17" s="354" t="e">
        <f t="shared" ref="HW17" si="103">HV17/HV$9</f>
        <v>#DIV/0!</v>
      </c>
      <c r="HX17" s="331" t="e">
        <f t="shared" ref="HX17" si="104">HX9-HX11-HX15</f>
        <v>#DIV/0!</v>
      </c>
      <c r="HY17" s="354" t="e">
        <f t="shared" ref="HY17" si="105">HX17/HX$9</f>
        <v>#DIV/0!</v>
      </c>
      <c r="HZ17" s="331" t="e">
        <f t="shared" ref="HZ17" si="106">HZ9-HZ11-HZ15</f>
        <v>#DIV/0!</v>
      </c>
      <c r="IA17" s="354" t="e">
        <f t="shared" ref="IA17" si="107">HZ17/HZ$9</f>
        <v>#DIV/0!</v>
      </c>
      <c r="IB17" s="331" t="e">
        <f t="shared" ref="IB17" si="108">IB9-IB11-IB15</f>
        <v>#DIV/0!</v>
      </c>
      <c r="IC17" s="354" t="e">
        <f t="shared" ref="IC17" si="109">IB17/IB$9</f>
        <v>#DIV/0!</v>
      </c>
      <c r="ID17" s="331" t="e">
        <f t="shared" ref="ID17" si="110">ID9-ID11-ID15</f>
        <v>#DIV/0!</v>
      </c>
      <c r="IE17" s="354" t="e">
        <f t="shared" ref="IE17" si="111">ID17/ID$9</f>
        <v>#DIV/0!</v>
      </c>
      <c r="IF17" s="331" t="e">
        <f t="shared" ref="IF17" si="112">IF9-IF11-IF15</f>
        <v>#DIV/0!</v>
      </c>
      <c r="IG17" s="354" t="e">
        <f t="shared" ref="IG17" si="113">IF17/IF$9</f>
        <v>#DIV/0!</v>
      </c>
      <c r="IH17" s="331" t="e">
        <f t="shared" ref="IH17" si="114">IH9-IH11-IH15</f>
        <v>#DIV/0!</v>
      </c>
      <c r="II17" s="354" t="e">
        <f t="shared" ref="II17" si="115">IH17/IH$9</f>
        <v>#DIV/0!</v>
      </c>
      <c r="IJ17" s="331" t="e">
        <f t="shared" ref="IJ17" si="116">IJ9-IJ11-IJ15</f>
        <v>#DIV/0!</v>
      </c>
      <c r="IK17" s="354" t="e">
        <f t="shared" ref="IK17:IM17" si="117">IJ17/IJ$9</f>
        <v>#DIV/0!</v>
      </c>
      <c r="IL17" s="333" t="e">
        <f>IL9-IL11-IL15</f>
        <v>#DIV/0!</v>
      </c>
      <c r="IM17" s="354" t="e">
        <f t="shared" si="117"/>
        <v>#DIV/0!</v>
      </c>
    </row>
    <row r="18" spans="2:247" ht="14.4" customHeight="1" x14ac:dyDescent="0.3">
      <c r="B18" s="237" t="s">
        <v>333</v>
      </c>
      <c r="C18" s="237"/>
      <c r="D18" s="114" t="s">
        <v>756</v>
      </c>
      <c r="E18" s="114" t="s">
        <v>757</v>
      </c>
      <c r="F18" s="114" t="s">
        <v>759</v>
      </c>
      <c r="H18" s="501" t="s">
        <v>578</v>
      </c>
      <c r="I18" s="501"/>
      <c r="J18" s="501"/>
      <c r="P18" s="14" t="s">
        <v>353</v>
      </c>
      <c r="Q18" s="48">
        <f>(Q17*2)+Q16</f>
        <v>3.046875</v>
      </c>
      <c r="R18" s="13" t="s">
        <v>349</v>
      </c>
      <c r="W18" s="336" t="str">
        <f t="shared" si="53"/>
        <v>Febrero</v>
      </c>
      <c r="X18" s="335" t="e">
        <f t="shared" si="67"/>
        <v>#DIV/0!</v>
      </c>
      <c r="Y18" s="336" t="s">
        <v>12</v>
      </c>
      <c r="Z18" s="337">
        <f t="shared" si="47"/>
        <v>0</v>
      </c>
      <c r="AA18" s="338">
        <f t="shared" si="18"/>
        <v>0</v>
      </c>
      <c r="AB18" s="339">
        <f t="shared" si="48"/>
        <v>0</v>
      </c>
      <c r="AC18" s="339">
        <f t="shared" si="37"/>
        <v>0</v>
      </c>
      <c r="AD18" s="340">
        <f t="shared" si="38"/>
        <v>1</v>
      </c>
      <c r="AE18" s="341">
        <f t="shared" si="39"/>
        <v>0</v>
      </c>
      <c r="AF18" s="342">
        <f t="shared" si="49"/>
        <v>0</v>
      </c>
      <c r="AG18" s="343">
        <f t="shared" si="40"/>
        <v>0</v>
      </c>
      <c r="AH18" s="344">
        <f t="shared" si="41"/>
        <v>0</v>
      </c>
      <c r="AI18" s="338">
        <f t="shared" si="42"/>
        <v>0</v>
      </c>
      <c r="AJ18" s="345" t="e">
        <f t="shared" si="43"/>
        <v>#DIV/0!</v>
      </c>
      <c r="AK18" s="346" t="e">
        <f t="shared" si="44"/>
        <v>#DIV/0!</v>
      </c>
      <c r="AM18" s="368">
        <f t="shared" si="5"/>
        <v>0</v>
      </c>
      <c r="AN18" s="368">
        <f t="shared" si="6"/>
        <v>0</v>
      </c>
      <c r="AO18" s="368">
        <f t="shared" si="7"/>
        <v>0</v>
      </c>
      <c r="AP18" s="368">
        <f t="shared" si="8"/>
        <v>0</v>
      </c>
      <c r="AQ18" s="369" t="s">
        <v>784</v>
      </c>
      <c r="AR18" s="297">
        <f t="shared" si="9"/>
        <v>0</v>
      </c>
      <c r="AS18" s="370" t="e">
        <f t="shared" si="2"/>
        <v>#DIV/0!</v>
      </c>
      <c r="AT18" s="525"/>
      <c r="AU18" s="525"/>
      <c r="AV18" s="299">
        <v>0</v>
      </c>
      <c r="AW18" s="300">
        <v>0</v>
      </c>
      <c r="AX18" s="301"/>
      <c r="AZ18" s="372">
        <f>SUM(AZ6:AZ17)</f>
        <v>0</v>
      </c>
      <c r="BA18" s="372" t="e">
        <f t="shared" ref="BA18:BD18" si="118">SUM(BA6:BA17)</f>
        <v>#DIV/0!</v>
      </c>
      <c r="BB18" s="372" t="e">
        <f t="shared" si="118"/>
        <v>#DIV/0!</v>
      </c>
      <c r="BC18" s="372" t="e">
        <f t="shared" si="118"/>
        <v>#DIV/0!</v>
      </c>
      <c r="BD18" s="372" t="e">
        <f t="shared" si="118"/>
        <v>#DIV/0!</v>
      </c>
      <c r="BE18" s="304" t="e">
        <f>SUM(BE6:BE17)</f>
        <v>#DIV/0!</v>
      </c>
      <c r="BF18" s="305" t="e">
        <f t="shared" si="12"/>
        <v>#DIV/0!</v>
      </c>
      <c r="BH18" s="525" t="s">
        <v>307</v>
      </c>
      <c r="BI18" s="525" t="e">
        <f>SUM(BJ18:BJ28)</f>
        <v>#DIV/0!</v>
      </c>
      <c r="BJ18" s="370" t="e">
        <f>$AS$16</f>
        <v>#DIV/0!</v>
      </c>
      <c r="BK18" s="242" t="str">
        <f t="shared" si="19"/>
        <v>C11</v>
      </c>
      <c r="BL18" s="303">
        <f t="shared" si="20"/>
        <v>0</v>
      </c>
      <c r="BM18" s="303">
        <f t="shared" si="20"/>
        <v>0</v>
      </c>
      <c r="BN18" s="303">
        <f t="shared" si="20"/>
        <v>0</v>
      </c>
      <c r="BO18" s="303">
        <f t="shared" si="21"/>
        <v>0</v>
      </c>
      <c r="BP18" s="303">
        <f t="shared" si="22"/>
        <v>0</v>
      </c>
      <c r="BQ18" s="303">
        <f t="shared" si="23"/>
        <v>0</v>
      </c>
      <c r="BR18" s="303">
        <f t="shared" si="24"/>
        <v>0</v>
      </c>
      <c r="BS18" s="303">
        <f t="shared" si="25"/>
        <v>0</v>
      </c>
      <c r="BT18" s="303">
        <f t="shared" si="26"/>
        <v>0</v>
      </c>
      <c r="BU18" s="303">
        <f t="shared" si="27"/>
        <v>0</v>
      </c>
      <c r="BV18" s="303">
        <f t="shared" si="28"/>
        <v>0</v>
      </c>
      <c r="BW18" s="303">
        <f t="shared" si="29"/>
        <v>0</v>
      </c>
      <c r="BX18" s="303">
        <f t="shared" si="30"/>
        <v>0</v>
      </c>
      <c r="BY18" s="303">
        <f t="shared" si="31"/>
        <v>0</v>
      </c>
      <c r="BZ18" s="303">
        <f t="shared" si="32"/>
        <v>0</v>
      </c>
      <c r="CB18" s="525" t="s">
        <v>307</v>
      </c>
      <c r="CC18" s="525" t="e">
        <f>SUM(CD18:CD28)</f>
        <v>#DIV/0!</v>
      </c>
      <c r="CD18" s="370" t="e">
        <f>$AS$16</f>
        <v>#DIV/0!</v>
      </c>
      <c r="CE18" s="242" t="str">
        <f>Tabla2[[#This Row],[Columna1]]</f>
        <v>C11</v>
      </c>
      <c r="CF18" s="303">
        <f>Tabla29[[#This Row],[Columna3]]/7</f>
        <v>0</v>
      </c>
      <c r="CG18" s="303">
        <f>Tabla29[[#This Row],[Columna4]]/4.2</f>
        <v>0</v>
      </c>
      <c r="CH18" s="303">
        <f>Tabla2[[#This Row],[Columna16]]</f>
        <v>0</v>
      </c>
      <c r="CI18" s="303" t="e">
        <f>(Tabla29[[#This Row],[Columna4]]*CI$5/$BZ$5)*$CH$4</f>
        <v>#DIV/0!</v>
      </c>
      <c r="CJ18" s="303" t="e">
        <f>(Tabla29[[#This Row],[Columna4]]*CJ$5/$BZ$5)*$CH$4</f>
        <v>#DIV/0!</v>
      </c>
      <c r="CK18" s="303" t="e">
        <f>(Tabla29[[#This Row],[Columna4]]*CK$5/$BZ$5)*$CH$4</f>
        <v>#DIV/0!</v>
      </c>
      <c r="CL18" s="303" t="e">
        <f>(Tabla29[[#This Row],[Columna4]]*CL$5/$BZ$5)*$CH$4</f>
        <v>#DIV/0!</v>
      </c>
      <c r="CM18" s="303" t="e">
        <f>(Tabla29[[#This Row],[Columna4]]*CM$5/$BZ$5)*$CH$4</f>
        <v>#DIV/0!</v>
      </c>
      <c r="CN18" s="303" t="e">
        <f>(Tabla29[[#This Row],[Columna4]]*CN$5/$BZ$5)*$CH$4</f>
        <v>#DIV/0!</v>
      </c>
      <c r="CO18" s="303" t="e">
        <f>(Tabla29[[#This Row],[Columna4]]*CO$5/$BZ$5)*$CH$4</f>
        <v>#DIV/0!</v>
      </c>
      <c r="CP18" s="303" t="e">
        <f>(Tabla29[[#This Row],[Columna4]]*CP$5/$BZ$5)*$CH$4</f>
        <v>#DIV/0!</v>
      </c>
      <c r="CQ18" s="303" t="e">
        <f>(Tabla29[[#This Row],[Columna4]]*CQ$5/$BZ$5)*$CH$4</f>
        <v>#DIV/0!</v>
      </c>
      <c r="CR18" s="303" t="e">
        <f>(Tabla29[[#This Row],[Columna4]]*CR$5/$BZ$5)*$CH$4</f>
        <v>#DIV/0!</v>
      </c>
      <c r="CS18" s="303" t="e">
        <f>(Tabla29[[#This Row],[Columna4]]*CS$5/$BZ$5)*$CH$4</f>
        <v>#DIV/0!</v>
      </c>
      <c r="CT18" s="303" t="e">
        <f>(Tabla29[[#This Row],[Columna4]]*CT$5/$BZ$5)*$CH$4</f>
        <v>#DIV/0!</v>
      </c>
      <c r="CV18" s="525" t="s">
        <v>307</v>
      </c>
      <c r="CW18" s="525" t="e">
        <f>SUM(CX18:CX28)</f>
        <v>#DIV/0!</v>
      </c>
      <c r="CX18" s="370" t="e">
        <f>$AS$16</f>
        <v>#DIV/0!</v>
      </c>
      <c r="CY18" s="242" t="str">
        <f>Tabla2[[#This Row],[Columna1]]</f>
        <v>C11</v>
      </c>
      <c r="CZ18" s="303" t="e">
        <f>Tabla292[[#This Row],[Columna3]]/7</f>
        <v>#DIV/0!</v>
      </c>
      <c r="DA18" s="303" t="e">
        <f>Tabla292[[#This Row],[Columna4]]/4.2</f>
        <v>#DIV/0!</v>
      </c>
      <c r="DB18" s="303" t="e">
        <f>Tabla29[[#This Row],[Columna16]]</f>
        <v>#DIV/0!</v>
      </c>
      <c r="DC18" s="303" t="e">
        <f>(Tabla292[[#This Row],[Columna4]]*DC$5/$CT$5)*$DB$4</f>
        <v>#DIV/0!</v>
      </c>
      <c r="DD18" s="303" t="e">
        <f>(Tabla292[[#This Row],[Columna4]]*DD$5/$CT$5)*$DB$4</f>
        <v>#DIV/0!</v>
      </c>
      <c r="DE18" s="303" t="e">
        <f>(Tabla292[[#This Row],[Columna4]]*DE$5/$CT$5)*$DB$4</f>
        <v>#DIV/0!</v>
      </c>
      <c r="DF18" s="303" t="e">
        <f>(Tabla292[[#This Row],[Columna4]]*DF$5/$CT$5)*$DB$4</f>
        <v>#DIV/0!</v>
      </c>
      <c r="DG18" s="303" t="e">
        <f>(Tabla292[[#This Row],[Columna4]]*DG$5/$CT$5)*$DB$4</f>
        <v>#DIV/0!</v>
      </c>
      <c r="DH18" s="303" t="e">
        <f>(Tabla292[[#This Row],[Columna4]]*DH$5/$CT$5)*$DB$4</f>
        <v>#DIV/0!</v>
      </c>
      <c r="DI18" s="303" t="e">
        <f>(Tabla292[[#This Row],[Columna4]]*DI$5/$CT$5)*$DB$4</f>
        <v>#DIV/0!</v>
      </c>
      <c r="DJ18" s="303" t="e">
        <f>(Tabla292[[#This Row],[Columna4]]*DJ$5/$CT$5)*$DB$4</f>
        <v>#DIV/0!</v>
      </c>
      <c r="DK18" s="303" t="e">
        <f>(Tabla292[[#This Row],[Columna4]]*DK$5/$CT$5)*$DB$4</f>
        <v>#DIV/0!</v>
      </c>
      <c r="DL18" s="303" t="e">
        <f>(Tabla292[[#This Row],[Columna4]]*DL$5/$CT$5)*$DB$4</f>
        <v>#DIV/0!</v>
      </c>
      <c r="DM18" s="303" t="e">
        <f>(Tabla292[[#This Row],[Columna4]]*DM$5/$CT$5)*$DB$4</f>
        <v>#DIV/0!</v>
      </c>
      <c r="DN18" s="303" t="e">
        <f>(Tabla292[[#This Row],[Columna4]]*DN$5/$CT$5)*$DB$4</f>
        <v>#DIV/0!</v>
      </c>
      <c r="DP18" s="525" t="s">
        <v>307</v>
      </c>
      <c r="DQ18" s="525" t="e">
        <f>SUM(DR18:DR28)</f>
        <v>#DIV/0!</v>
      </c>
      <c r="DR18" s="370" t="e">
        <f>$AS$16</f>
        <v>#DIV/0!</v>
      </c>
      <c r="DS18" s="242" t="str">
        <f>Tabla2[[#This Row],[Columna1]]</f>
        <v>C11</v>
      </c>
      <c r="DT18" s="303" t="e">
        <f>Tabla2926[[#This Row],[Columna3]]/7</f>
        <v>#DIV/0!</v>
      </c>
      <c r="DU18" s="303" t="e">
        <f>Tabla2926[[#This Row],[Columna4]]/4.2</f>
        <v>#DIV/0!</v>
      </c>
      <c r="DV18" s="303" t="e">
        <f>Tabla292[[#This Row],[Columna16]]</f>
        <v>#DIV/0!</v>
      </c>
      <c r="DW18" s="303" t="e">
        <f>(Tabla2926[[#This Row],[Columna4]]*DW$5/$DN$5)*$DV$4</f>
        <v>#DIV/0!</v>
      </c>
      <c r="DX18" s="303" t="e">
        <f>(Tabla2926[[#This Row],[Columna4]]*DX$5/$DN$5)*$DV$4</f>
        <v>#DIV/0!</v>
      </c>
      <c r="DY18" s="303" t="e">
        <f>(Tabla2926[[#This Row],[Columna4]]*DY$5/$DN$5)*$DV$4</f>
        <v>#DIV/0!</v>
      </c>
      <c r="DZ18" s="303" t="e">
        <f>(Tabla2926[[#This Row],[Columna4]]*DZ$5/$DN$5)*$DV$4</f>
        <v>#DIV/0!</v>
      </c>
      <c r="EA18" s="303" t="e">
        <f>(Tabla2926[[#This Row],[Columna4]]*EA$5/$DN$5)*$DV$4</f>
        <v>#DIV/0!</v>
      </c>
      <c r="EB18" s="303" t="e">
        <f>(Tabla2926[[#This Row],[Columna4]]*EB$5/$DN$5)*$DV$4</f>
        <v>#DIV/0!</v>
      </c>
      <c r="EC18" s="303" t="e">
        <f>(Tabla2926[[#This Row],[Columna4]]*EC$5/$DN$5)*$DV$4</f>
        <v>#DIV/0!</v>
      </c>
      <c r="ED18" s="303" t="e">
        <f>(Tabla2926[[#This Row],[Columna4]]*ED$5/$DN$5)*$DV$4</f>
        <v>#DIV/0!</v>
      </c>
      <c r="EE18" s="303" t="e">
        <f>(Tabla2926[[#This Row],[Columna4]]*EE$5/$DN$5)*$DV$4</f>
        <v>#DIV/0!</v>
      </c>
      <c r="EF18" s="303" t="e">
        <f>(Tabla2926[[#This Row],[Columna4]]*EF$5/$DN$5)*$DV$4</f>
        <v>#DIV/0!</v>
      </c>
      <c r="EG18" s="303" t="e">
        <f>(Tabla2926[[#This Row],[Columna4]]*EG$5/$DN$5)*$DV$4</f>
        <v>#DIV/0!</v>
      </c>
      <c r="EH18" s="303" t="e">
        <f>(Tabla2926[[#This Row],[Columna4]]*EH$5/$DN$5)*$DV$4</f>
        <v>#DIV/0!</v>
      </c>
      <c r="EJ18" s="525" t="s">
        <v>307</v>
      </c>
      <c r="EK18" s="525" t="e">
        <f>SUM(EL18:EL28)</f>
        <v>#DIV/0!</v>
      </c>
      <c r="EL18" s="370" t="e">
        <f>$AS$16</f>
        <v>#DIV/0!</v>
      </c>
      <c r="EM18" s="242" t="str">
        <f>Tabla2[[#This Row],[Columna1]]</f>
        <v>C11</v>
      </c>
      <c r="EN18" s="303" t="e">
        <f>Tabla29268[[#This Row],[Columna3]]/7</f>
        <v>#DIV/0!</v>
      </c>
      <c r="EO18" s="303" t="e">
        <f>Tabla29268[[#This Row],[Columna4]]/4.2</f>
        <v>#DIV/0!</v>
      </c>
      <c r="EP18" s="303" t="e">
        <f>Tabla2926[[#This Row],[Columna16]]</f>
        <v>#DIV/0!</v>
      </c>
      <c r="EQ18" s="303" t="e">
        <f>(Tabla29268[[#This Row],[Columna4]]*EQ$5/$EH$5)*$EP$4</f>
        <v>#DIV/0!</v>
      </c>
      <c r="ER18" s="303" t="e">
        <f>(Tabla29268[[#This Row],[Columna4]]*ER$5/$EH$5)*$EP$4</f>
        <v>#DIV/0!</v>
      </c>
      <c r="ES18" s="303" t="e">
        <f>(Tabla29268[[#This Row],[Columna4]]*ES$5/$EH$5)*$EP$4</f>
        <v>#DIV/0!</v>
      </c>
      <c r="ET18" s="303" t="e">
        <f>(Tabla29268[[#This Row],[Columna4]]*ET$5/$EH$5)*$EP$4</f>
        <v>#DIV/0!</v>
      </c>
      <c r="EU18" s="303" t="e">
        <f>(Tabla29268[[#This Row],[Columna4]]*EU$5/$EH$5)*$EP$4</f>
        <v>#DIV/0!</v>
      </c>
      <c r="EV18" s="303" t="e">
        <f>(Tabla29268[[#This Row],[Columna4]]*EV$5/$EH$5)*$EP$4</f>
        <v>#DIV/0!</v>
      </c>
      <c r="EW18" s="303" t="e">
        <f>(Tabla29268[[#This Row],[Columna4]]*EW$5/$EH$5)*$EP$4</f>
        <v>#DIV/0!</v>
      </c>
      <c r="EX18" s="303" t="e">
        <f>(Tabla29268[[#This Row],[Columna4]]*EX$5/$EH$5)*$EP$4</f>
        <v>#DIV/0!</v>
      </c>
      <c r="EY18" s="303" t="e">
        <f>(Tabla29268[[#This Row],[Columna4]]*EY$5/$EH$5)*$EP$4</f>
        <v>#DIV/0!</v>
      </c>
      <c r="EZ18" s="303" t="e">
        <f>(Tabla29268[[#This Row],[Columna4]]*EZ$5/$EH$5)*$EP$4</f>
        <v>#DIV/0!</v>
      </c>
      <c r="FA18" s="303" t="e">
        <f>(Tabla29268[[#This Row],[Columna4]]*FA$5/$EH$5)*$EP$4</f>
        <v>#DIV/0!</v>
      </c>
      <c r="FB18" s="303" t="e">
        <f>(Tabla29268[[#This Row],[Columna4]]*FB$5/$EH$5)*$EP$4</f>
        <v>#DIV/0!</v>
      </c>
      <c r="FE18" s="361"/>
      <c r="FF18" s="362"/>
      <c r="FG18" s="362"/>
      <c r="FH18" s="362"/>
      <c r="FI18" s="362"/>
      <c r="FJ18" s="362"/>
      <c r="FK18" s="362"/>
      <c r="FL18" s="362"/>
      <c r="FM18" s="362"/>
      <c r="FN18" s="362"/>
      <c r="FO18" s="362"/>
      <c r="FP18" s="362"/>
      <c r="FQ18" s="362"/>
      <c r="FR18" s="363"/>
      <c r="FS18" s="364"/>
      <c r="FV18" s="361"/>
      <c r="FW18" s="362"/>
      <c r="FX18" s="362"/>
      <c r="FY18" s="362"/>
      <c r="FZ18" s="362"/>
      <c r="GA18" s="362"/>
      <c r="GB18" s="362"/>
      <c r="GC18" s="362"/>
      <c r="GD18" s="362"/>
      <c r="GE18" s="362"/>
      <c r="GF18" s="362"/>
      <c r="GG18" s="362"/>
      <c r="GH18" s="362"/>
      <c r="GI18" s="362"/>
      <c r="GJ18" s="365"/>
      <c r="GL18" s="250">
        <f>GL17+1</f>
        <v>10</v>
      </c>
      <c r="GM18" s="352" t="s">
        <v>503</v>
      </c>
      <c r="GN18" s="353">
        <v>0</v>
      </c>
      <c r="GO18" s="353">
        <v>0</v>
      </c>
      <c r="GP18" s="353">
        <v>0</v>
      </c>
      <c r="GQ18" s="353">
        <v>0</v>
      </c>
      <c r="GR18" s="353">
        <v>0</v>
      </c>
      <c r="GS18" s="353">
        <v>0</v>
      </c>
      <c r="GT18" s="353">
        <v>0</v>
      </c>
      <c r="GU18" s="353">
        <v>0</v>
      </c>
      <c r="GV18" s="353">
        <v>0</v>
      </c>
      <c r="GW18" s="353">
        <v>0</v>
      </c>
      <c r="GX18" s="353">
        <v>0</v>
      </c>
      <c r="GY18" s="353">
        <v>0</v>
      </c>
      <c r="GZ18" s="328">
        <f>SUM(GN18:GY18)</f>
        <v>0</v>
      </c>
      <c r="HA18" s="329" t="e">
        <f t="shared" si="55"/>
        <v>#DIV/0!</v>
      </c>
      <c r="HD18" s="65" t="s">
        <v>785</v>
      </c>
      <c r="HE18" s="66">
        <v>0</v>
      </c>
      <c r="HF18" s="67">
        <f t="shared" si="77"/>
        <v>0</v>
      </c>
      <c r="HG18" s="68">
        <f t="shared" si="78"/>
        <v>0</v>
      </c>
      <c r="HH18" s="69">
        <v>1</v>
      </c>
      <c r="HI18" s="367">
        <v>0</v>
      </c>
      <c r="HJ18" s="140"/>
      <c r="HK18" s="136">
        <f>HK16/HK14</f>
        <v>-1.6666666666666666E-2</v>
      </c>
      <c r="HM18" s="283"/>
      <c r="HN18" s="316"/>
      <c r="HO18" s="285"/>
      <c r="HP18" s="316"/>
      <c r="HQ18" s="285"/>
      <c r="HR18" s="316"/>
      <c r="HS18" s="285"/>
      <c r="HT18" s="316"/>
      <c r="HU18" s="285"/>
      <c r="HV18" s="316"/>
      <c r="HW18" s="285"/>
      <c r="HX18" s="316"/>
      <c r="HY18" s="285"/>
      <c r="HZ18" s="316"/>
      <c r="IA18" s="285"/>
      <c r="IB18" s="316"/>
      <c r="IC18" s="285"/>
      <c r="ID18" s="316"/>
      <c r="IE18" s="285"/>
      <c r="IF18" s="316"/>
      <c r="IG18" s="285"/>
      <c r="IH18" s="316"/>
      <c r="II18" s="285"/>
      <c r="IJ18" s="316"/>
      <c r="IK18" s="285"/>
      <c r="IL18" s="288"/>
      <c r="IM18" s="285"/>
    </row>
    <row r="19" spans="2:247" ht="14.4" customHeight="1" x14ac:dyDescent="0.3">
      <c r="C19" s="44" t="s">
        <v>339</v>
      </c>
      <c r="D19" s="110">
        <f>7.2*1.15</f>
        <v>8.2799999999999994</v>
      </c>
      <c r="E19" s="13"/>
      <c r="F19" s="13"/>
      <c r="I19" s="44" t="s">
        <v>336</v>
      </c>
      <c r="J19" s="50">
        <f>HF9</f>
        <v>0</v>
      </c>
      <c r="W19" s="336" t="str">
        <f t="shared" si="53"/>
        <v>Marzo</v>
      </c>
      <c r="X19" s="335" t="e">
        <f t="shared" si="67"/>
        <v>#DIV/0!</v>
      </c>
      <c r="Y19" s="336" t="s">
        <v>13</v>
      </c>
      <c r="Z19" s="337">
        <f t="shared" si="47"/>
        <v>0</v>
      </c>
      <c r="AA19" s="338">
        <f t="shared" si="18"/>
        <v>0</v>
      </c>
      <c r="AB19" s="339">
        <f t="shared" si="48"/>
        <v>0</v>
      </c>
      <c r="AC19" s="339">
        <f t="shared" si="37"/>
        <v>0</v>
      </c>
      <c r="AD19" s="340">
        <f t="shared" si="38"/>
        <v>1</v>
      </c>
      <c r="AE19" s="341">
        <f t="shared" si="39"/>
        <v>0</v>
      </c>
      <c r="AF19" s="342">
        <f t="shared" si="49"/>
        <v>0</v>
      </c>
      <c r="AG19" s="343">
        <f t="shared" si="40"/>
        <v>0</v>
      </c>
      <c r="AH19" s="344">
        <f t="shared" si="41"/>
        <v>0</v>
      </c>
      <c r="AI19" s="338">
        <f t="shared" si="42"/>
        <v>0</v>
      </c>
      <c r="AJ19" s="345" t="e">
        <f t="shared" si="43"/>
        <v>#DIV/0!</v>
      </c>
      <c r="AK19" s="346" t="e">
        <f t="shared" si="44"/>
        <v>#DIV/0!</v>
      </c>
      <c r="AM19" s="368">
        <f t="shared" si="5"/>
        <v>0</v>
      </c>
      <c r="AN19" s="368">
        <f t="shared" si="6"/>
        <v>0</v>
      </c>
      <c r="AO19" s="368">
        <f t="shared" si="7"/>
        <v>0</v>
      </c>
      <c r="AP19" s="368">
        <f t="shared" si="8"/>
        <v>0</v>
      </c>
      <c r="AQ19" s="369" t="s">
        <v>786</v>
      </c>
      <c r="AR19" s="297">
        <f t="shared" si="9"/>
        <v>0</v>
      </c>
      <c r="AS19" s="370" t="e">
        <f t="shared" si="2"/>
        <v>#DIV/0!</v>
      </c>
      <c r="AT19" s="525"/>
      <c r="AU19" s="525"/>
      <c r="AV19" s="299">
        <v>0</v>
      </c>
      <c r="AW19" s="300">
        <v>0</v>
      </c>
      <c r="AX19" s="301"/>
      <c r="BH19" s="525"/>
      <c r="BI19" s="525"/>
      <c r="BJ19" s="370" t="e">
        <f>$AS$17</f>
        <v>#DIV/0!</v>
      </c>
      <c r="BK19" s="242" t="str">
        <f t="shared" si="19"/>
        <v>C12</v>
      </c>
      <c r="BL19" s="303">
        <f t="shared" si="20"/>
        <v>0</v>
      </c>
      <c r="BM19" s="303">
        <f t="shared" si="20"/>
        <v>0</v>
      </c>
      <c r="BN19" s="303">
        <f t="shared" si="20"/>
        <v>0</v>
      </c>
      <c r="BO19" s="303">
        <f t="shared" si="21"/>
        <v>0</v>
      </c>
      <c r="BP19" s="303">
        <f t="shared" si="22"/>
        <v>0</v>
      </c>
      <c r="BQ19" s="303">
        <f t="shared" si="23"/>
        <v>0</v>
      </c>
      <c r="BR19" s="303">
        <f t="shared" si="24"/>
        <v>0</v>
      </c>
      <c r="BS19" s="303">
        <f t="shared" si="25"/>
        <v>0</v>
      </c>
      <c r="BT19" s="303">
        <f t="shared" si="26"/>
        <v>0</v>
      </c>
      <c r="BU19" s="303">
        <f t="shared" si="27"/>
        <v>0</v>
      </c>
      <c r="BV19" s="303">
        <f t="shared" si="28"/>
        <v>0</v>
      </c>
      <c r="BW19" s="303">
        <f t="shared" si="29"/>
        <v>0</v>
      </c>
      <c r="BX19" s="303">
        <f t="shared" si="30"/>
        <v>0</v>
      </c>
      <c r="BY19" s="303">
        <f t="shared" si="31"/>
        <v>0</v>
      </c>
      <c r="BZ19" s="303">
        <f t="shared" si="32"/>
        <v>0</v>
      </c>
      <c r="CB19" s="525"/>
      <c r="CC19" s="525"/>
      <c r="CD19" s="370" t="e">
        <f>$AS$17</f>
        <v>#DIV/0!</v>
      </c>
      <c r="CE19" s="242" t="str">
        <f>Tabla2[[#This Row],[Columna1]]</f>
        <v>C12</v>
      </c>
      <c r="CF19" s="303">
        <f>Tabla29[[#This Row],[Columna3]]/7</f>
        <v>0</v>
      </c>
      <c r="CG19" s="303">
        <f>Tabla29[[#This Row],[Columna4]]/4.2</f>
        <v>0</v>
      </c>
      <c r="CH19" s="303">
        <f>Tabla2[[#This Row],[Columna16]]</f>
        <v>0</v>
      </c>
      <c r="CI19" s="303" t="e">
        <f>(Tabla29[[#This Row],[Columna4]]*CI$5/$BZ$5)*$CH$4</f>
        <v>#DIV/0!</v>
      </c>
      <c r="CJ19" s="303" t="e">
        <f>(Tabla29[[#This Row],[Columna4]]*CJ$5/$BZ$5)*$CH$4</f>
        <v>#DIV/0!</v>
      </c>
      <c r="CK19" s="303" t="e">
        <f>(Tabla29[[#This Row],[Columna4]]*CK$5/$BZ$5)*$CH$4</f>
        <v>#DIV/0!</v>
      </c>
      <c r="CL19" s="303" t="e">
        <f>(Tabla29[[#This Row],[Columna4]]*CL$5/$BZ$5)*$CH$4</f>
        <v>#DIV/0!</v>
      </c>
      <c r="CM19" s="303" t="e">
        <f>(Tabla29[[#This Row],[Columna4]]*CM$5/$BZ$5)*$CH$4</f>
        <v>#DIV/0!</v>
      </c>
      <c r="CN19" s="303" t="e">
        <f>(Tabla29[[#This Row],[Columna4]]*CN$5/$BZ$5)*$CH$4</f>
        <v>#DIV/0!</v>
      </c>
      <c r="CO19" s="303" t="e">
        <f>(Tabla29[[#This Row],[Columna4]]*CO$5/$BZ$5)*$CH$4</f>
        <v>#DIV/0!</v>
      </c>
      <c r="CP19" s="303" t="e">
        <f>(Tabla29[[#This Row],[Columna4]]*CP$5/$BZ$5)*$CH$4</f>
        <v>#DIV/0!</v>
      </c>
      <c r="CQ19" s="303" t="e">
        <f>(Tabla29[[#This Row],[Columna4]]*CQ$5/$BZ$5)*$CH$4</f>
        <v>#DIV/0!</v>
      </c>
      <c r="CR19" s="303" t="e">
        <f>(Tabla29[[#This Row],[Columna4]]*CR$5/$BZ$5)*$CH$4</f>
        <v>#DIV/0!</v>
      </c>
      <c r="CS19" s="303" t="e">
        <f>(Tabla29[[#This Row],[Columna4]]*CS$5/$BZ$5)*$CH$4</f>
        <v>#DIV/0!</v>
      </c>
      <c r="CT19" s="303" t="e">
        <f>(Tabla29[[#This Row],[Columna4]]*CT$5/$BZ$5)*$CH$4</f>
        <v>#DIV/0!</v>
      </c>
      <c r="CV19" s="525"/>
      <c r="CW19" s="525"/>
      <c r="CX19" s="370" t="e">
        <f>$AS$17</f>
        <v>#DIV/0!</v>
      </c>
      <c r="CY19" s="242" t="str">
        <f>Tabla2[[#This Row],[Columna1]]</f>
        <v>C12</v>
      </c>
      <c r="CZ19" s="303" t="e">
        <f>Tabla292[[#This Row],[Columna3]]/7</f>
        <v>#DIV/0!</v>
      </c>
      <c r="DA19" s="303" t="e">
        <f>Tabla292[[#This Row],[Columna4]]/4.2</f>
        <v>#DIV/0!</v>
      </c>
      <c r="DB19" s="303" t="e">
        <f>Tabla29[[#This Row],[Columna16]]</f>
        <v>#DIV/0!</v>
      </c>
      <c r="DC19" s="303" t="e">
        <f>(Tabla292[[#This Row],[Columna4]]*DC$5/$CT$5)*$DB$4</f>
        <v>#DIV/0!</v>
      </c>
      <c r="DD19" s="303" t="e">
        <f>(Tabla292[[#This Row],[Columna4]]*DD$5/$CT$5)*$DB$4</f>
        <v>#DIV/0!</v>
      </c>
      <c r="DE19" s="303" t="e">
        <f>(Tabla292[[#This Row],[Columna4]]*DE$5/$CT$5)*$DB$4</f>
        <v>#DIV/0!</v>
      </c>
      <c r="DF19" s="303" t="e">
        <f>(Tabla292[[#This Row],[Columna4]]*DF$5/$CT$5)*$DB$4</f>
        <v>#DIV/0!</v>
      </c>
      <c r="DG19" s="303" t="e">
        <f>(Tabla292[[#This Row],[Columna4]]*DG$5/$CT$5)*$DB$4</f>
        <v>#DIV/0!</v>
      </c>
      <c r="DH19" s="303" t="e">
        <f>(Tabla292[[#This Row],[Columna4]]*DH$5/$CT$5)*$DB$4</f>
        <v>#DIV/0!</v>
      </c>
      <c r="DI19" s="303" t="e">
        <f>(Tabla292[[#This Row],[Columna4]]*DI$5/$CT$5)*$DB$4</f>
        <v>#DIV/0!</v>
      </c>
      <c r="DJ19" s="303" t="e">
        <f>(Tabla292[[#This Row],[Columna4]]*DJ$5/$CT$5)*$DB$4</f>
        <v>#DIV/0!</v>
      </c>
      <c r="DK19" s="303" t="e">
        <f>(Tabla292[[#This Row],[Columna4]]*DK$5/$CT$5)*$DB$4</f>
        <v>#DIV/0!</v>
      </c>
      <c r="DL19" s="303" t="e">
        <f>(Tabla292[[#This Row],[Columna4]]*DL$5/$CT$5)*$DB$4</f>
        <v>#DIV/0!</v>
      </c>
      <c r="DM19" s="303" t="e">
        <f>(Tabla292[[#This Row],[Columna4]]*DM$5/$CT$5)*$DB$4</f>
        <v>#DIV/0!</v>
      </c>
      <c r="DN19" s="303" t="e">
        <f>(Tabla292[[#This Row],[Columna4]]*DN$5/$CT$5)*$DB$4</f>
        <v>#DIV/0!</v>
      </c>
      <c r="DP19" s="525"/>
      <c r="DQ19" s="525"/>
      <c r="DR19" s="370" t="e">
        <f>$AS$17</f>
        <v>#DIV/0!</v>
      </c>
      <c r="DS19" s="242" t="str">
        <f>Tabla2[[#This Row],[Columna1]]</f>
        <v>C12</v>
      </c>
      <c r="DT19" s="303" t="e">
        <f>Tabla2926[[#This Row],[Columna3]]/7</f>
        <v>#DIV/0!</v>
      </c>
      <c r="DU19" s="303" t="e">
        <f>Tabla2926[[#This Row],[Columna4]]/4.2</f>
        <v>#DIV/0!</v>
      </c>
      <c r="DV19" s="303" t="e">
        <f>Tabla292[[#This Row],[Columna16]]</f>
        <v>#DIV/0!</v>
      </c>
      <c r="DW19" s="303" t="e">
        <f>(Tabla2926[[#This Row],[Columna4]]*DW$5/$DN$5)*$DV$4</f>
        <v>#DIV/0!</v>
      </c>
      <c r="DX19" s="303" t="e">
        <f>(Tabla2926[[#This Row],[Columna4]]*DX$5/$DN$5)*$DV$4</f>
        <v>#DIV/0!</v>
      </c>
      <c r="DY19" s="303" t="e">
        <f>(Tabla2926[[#This Row],[Columna4]]*DY$5/$DN$5)*$DV$4</f>
        <v>#DIV/0!</v>
      </c>
      <c r="DZ19" s="303" t="e">
        <f>(Tabla2926[[#This Row],[Columna4]]*DZ$5/$DN$5)*$DV$4</f>
        <v>#DIV/0!</v>
      </c>
      <c r="EA19" s="303" t="e">
        <f>(Tabla2926[[#This Row],[Columna4]]*EA$5/$DN$5)*$DV$4</f>
        <v>#DIV/0!</v>
      </c>
      <c r="EB19" s="303" t="e">
        <f>(Tabla2926[[#This Row],[Columna4]]*EB$5/$DN$5)*$DV$4</f>
        <v>#DIV/0!</v>
      </c>
      <c r="EC19" s="303" t="e">
        <f>(Tabla2926[[#This Row],[Columna4]]*EC$5/$DN$5)*$DV$4</f>
        <v>#DIV/0!</v>
      </c>
      <c r="ED19" s="303" t="e">
        <f>(Tabla2926[[#This Row],[Columna4]]*ED$5/$DN$5)*$DV$4</f>
        <v>#DIV/0!</v>
      </c>
      <c r="EE19" s="303" t="e">
        <f>(Tabla2926[[#This Row],[Columna4]]*EE$5/$DN$5)*$DV$4</f>
        <v>#DIV/0!</v>
      </c>
      <c r="EF19" s="303" t="e">
        <f>(Tabla2926[[#This Row],[Columna4]]*EF$5/$DN$5)*$DV$4</f>
        <v>#DIV/0!</v>
      </c>
      <c r="EG19" s="303" t="e">
        <f>(Tabla2926[[#This Row],[Columna4]]*EG$5/$DN$5)*$DV$4</f>
        <v>#DIV/0!</v>
      </c>
      <c r="EH19" s="303" t="e">
        <f>(Tabla2926[[#This Row],[Columna4]]*EH$5/$DN$5)*$DV$4</f>
        <v>#DIV/0!</v>
      </c>
      <c r="EJ19" s="525"/>
      <c r="EK19" s="525"/>
      <c r="EL19" s="370" t="e">
        <f>$AS$17</f>
        <v>#DIV/0!</v>
      </c>
      <c r="EM19" s="242" t="str">
        <f>Tabla2[[#This Row],[Columna1]]</f>
        <v>C12</v>
      </c>
      <c r="EN19" s="303" t="e">
        <f>Tabla29268[[#This Row],[Columna3]]/7</f>
        <v>#DIV/0!</v>
      </c>
      <c r="EO19" s="303" t="e">
        <f>Tabla29268[[#This Row],[Columna4]]/4.2</f>
        <v>#DIV/0!</v>
      </c>
      <c r="EP19" s="303" t="e">
        <f>Tabla2926[[#This Row],[Columna16]]</f>
        <v>#DIV/0!</v>
      </c>
      <c r="EQ19" s="303" t="e">
        <f>(Tabla29268[[#This Row],[Columna4]]*EQ$5/$EH$5)*$EP$4</f>
        <v>#DIV/0!</v>
      </c>
      <c r="ER19" s="303" t="e">
        <f>(Tabla29268[[#This Row],[Columna4]]*ER$5/$EH$5)*$EP$4</f>
        <v>#DIV/0!</v>
      </c>
      <c r="ES19" s="303" t="e">
        <f>(Tabla29268[[#This Row],[Columna4]]*ES$5/$EH$5)*$EP$4</f>
        <v>#DIV/0!</v>
      </c>
      <c r="ET19" s="303" t="e">
        <f>(Tabla29268[[#This Row],[Columna4]]*ET$5/$EH$5)*$EP$4</f>
        <v>#DIV/0!</v>
      </c>
      <c r="EU19" s="303" t="e">
        <f>(Tabla29268[[#This Row],[Columna4]]*EU$5/$EH$5)*$EP$4</f>
        <v>#DIV/0!</v>
      </c>
      <c r="EV19" s="303" t="e">
        <f>(Tabla29268[[#This Row],[Columna4]]*EV$5/$EH$5)*$EP$4</f>
        <v>#DIV/0!</v>
      </c>
      <c r="EW19" s="303" t="e">
        <f>(Tabla29268[[#This Row],[Columna4]]*EW$5/$EH$5)*$EP$4</f>
        <v>#DIV/0!</v>
      </c>
      <c r="EX19" s="303" t="e">
        <f>(Tabla29268[[#This Row],[Columna4]]*EX$5/$EH$5)*$EP$4</f>
        <v>#DIV/0!</v>
      </c>
      <c r="EY19" s="303" t="e">
        <f>(Tabla29268[[#This Row],[Columna4]]*EY$5/$EH$5)*$EP$4</f>
        <v>#DIV/0!</v>
      </c>
      <c r="EZ19" s="303" t="e">
        <f>(Tabla29268[[#This Row],[Columna4]]*EZ$5/$EH$5)*$EP$4</f>
        <v>#DIV/0!</v>
      </c>
      <c r="FA19" s="303" t="e">
        <f>(Tabla29268[[#This Row],[Columna4]]*FA$5/$EH$5)*$EP$4</f>
        <v>#DIV/0!</v>
      </c>
      <c r="FB19" s="303" t="e">
        <f>(Tabla29268[[#This Row],[Columna4]]*FB$5/$EH$5)*$EP$4</f>
        <v>#DIV/0!</v>
      </c>
      <c r="FE19" s="357" t="s">
        <v>439</v>
      </c>
      <c r="FF19" s="366">
        <f>FF162</f>
        <v>0</v>
      </c>
      <c r="FG19" s="366">
        <f>FG162</f>
        <v>0</v>
      </c>
      <c r="FH19" s="366">
        <f t="shared" ref="FH19:FQ19" si="119">FH162</f>
        <v>0</v>
      </c>
      <c r="FI19" s="366">
        <f t="shared" si="119"/>
        <v>0</v>
      </c>
      <c r="FJ19" s="366">
        <f t="shared" si="119"/>
        <v>0</v>
      </c>
      <c r="FK19" s="366">
        <f t="shared" si="119"/>
        <v>0</v>
      </c>
      <c r="FL19" s="366">
        <f t="shared" si="119"/>
        <v>0</v>
      </c>
      <c r="FM19" s="366">
        <f t="shared" si="119"/>
        <v>0</v>
      </c>
      <c r="FN19" s="366">
        <f t="shared" si="119"/>
        <v>0</v>
      </c>
      <c r="FO19" s="366">
        <f t="shared" si="119"/>
        <v>0</v>
      </c>
      <c r="FP19" s="366">
        <f t="shared" si="119"/>
        <v>0</v>
      </c>
      <c r="FQ19" s="366">
        <f t="shared" si="119"/>
        <v>0</v>
      </c>
      <c r="FR19" s="363">
        <f t="shared" ref="FR19" si="120">SUM(FF19:FQ19)</f>
        <v>0</v>
      </c>
      <c r="FS19" s="260" t="e">
        <f>FR19/$FR$6</f>
        <v>#DIV/0!</v>
      </c>
      <c r="FV19" s="357" t="s">
        <v>439</v>
      </c>
      <c r="FW19" s="366">
        <f>$FF$384</f>
        <v>0</v>
      </c>
      <c r="FX19" s="366">
        <f>FW19</f>
        <v>0</v>
      </c>
      <c r="FY19" s="366">
        <f t="shared" ref="FY19:GH19" si="121">FX19</f>
        <v>0</v>
      </c>
      <c r="FZ19" s="366">
        <f t="shared" si="121"/>
        <v>0</v>
      </c>
      <c r="GA19" s="366">
        <f t="shared" si="121"/>
        <v>0</v>
      </c>
      <c r="GB19" s="366">
        <f t="shared" si="121"/>
        <v>0</v>
      </c>
      <c r="GC19" s="366">
        <f t="shared" si="121"/>
        <v>0</v>
      </c>
      <c r="GD19" s="366">
        <f t="shared" si="121"/>
        <v>0</v>
      </c>
      <c r="GE19" s="366">
        <f t="shared" si="121"/>
        <v>0</v>
      </c>
      <c r="GF19" s="366">
        <f t="shared" si="121"/>
        <v>0</v>
      </c>
      <c r="GG19" s="366">
        <f t="shared" si="121"/>
        <v>0</v>
      </c>
      <c r="GH19" s="366">
        <f t="shared" si="121"/>
        <v>0</v>
      </c>
      <c r="GI19" s="309">
        <f t="shared" ref="GI19" si="122">SUM(FW19:GH19)</f>
        <v>0</v>
      </c>
      <c r="GJ19" s="262" t="e">
        <f>GI19/$GI$6</f>
        <v>#DIV/0!</v>
      </c>
      <c r="GL19" s="250"/>
      <c r="GM19" s="310" t="s">
        <v>462</v>
      </c>
      <c r="GN19" s="311" t="e">
        <f>SUM(GN20:GN32)</f>
        <v>#DIV/0!</v>
      </c>
      <c r="GO19" s="311" t="e">
        <f t="shared" ref="GO19:GY19" si="123">SUM(GO20:GO32)</f>
        <v>#DIV/0!</v>
      </c>
      <c r="GP19" s="311" t="e">
        <f t="shared" si="123"/>
        <v>#DIV/0!</v>
      </c>
      <c r="GQ19" s="311" t="e">
        <f t="shared" si="123"/>
        <v>#DIV/0!</v>
      </c>
      <c r="GR19" s="311" t="e">
        <f t="shared" si="123"/>
        <v>#DIV/0!</v>
      </c>
      <c r="GS19" s="311" t="e">
        <f t="shared" si="123"/>
        <v>#DIV/0!</v>
      </c>
      <c r="GT19" s="311" t="e">
        <f t="shared" si="123"/>
        <v>#DIV/0!</v>
      </c>
      <c r="GU19" s="311" t="e">
        <f t="shared" si="123"/>
        <v>#DIV/0!</v>
      </c>
      <c r="GV19" s="311" t="e">
        <f t="shared" si="123"/>
        <v>#DIV/0!</v>
      </c>
      <c r="GW19" s="311" t="e">
        <f t="shared" si="123"/>
        <v>#DIV/0!</v>
      </c>
      <c r="GX19" s="311" t="e">
        <f t="shared" si="123"/>
        <v>#DIV/0!</v>
      </c>
      <c r="GY19" s="311" t="e">
        <f t="shared" si="123"/>
        <v>#DIV/0!</v>
      </c>
      <c r="GZ19" s="311" t="e">
        <f>SUM(GZ20:GZ32)</f>
        <v>#DIV/0!</v>
      </c>
      <c r="HA19" s="312" t="e">
        <f t="shared" si="55"/>
        <v>#DIV/0!</v>
      </c>
      <c r="HB19" s="373" t="e">
        <f>GZ19+GZ12+GZ34+GZ38-FR177+FF177</f>
        <v>#DIV/0!</v>
      </c>
      <c r="HC19" s="374" t="e">
        <f>HB19-FR12</f>
        <v>#DIV/0!</v>
      </c>
      <c r="HD19" s="65" t="s">
        <v>787</v>
      </c>
      <c r="HE19" s="66">
        <v>0</v>
      </c>
      <c r="HF19" s="67">
        <f t="shared" si="77"/>
        <v>0</v>
      </c>
      <c r="HG19" s="68">
        <f t="shared" si="78"/>
        <v>0</v>
      </c>
      <c r="HH19" s="69">
        <v>1</v>
      </c>
      <c r="HI19" s="367">
        <v>0</v>
      </c>
      <c r="HJ19" s="140"/>
      <c r="HM19" s="330" t="s">
        <v>589</v>
      </c>
      <c r="HN19" s="316">
        <f>HN20+HN21+HN23+HN25</f>
        <v>0</v>
      </c>
      <c r="HO19" s="354" t="e">
        <f>HN19/HN$6</f>
        <v>#DIV/0!</v>
      </c>
      <c r="HP19" s="316">
        <f>HP20+HP21+HP23+HP25</f>
        <v>0</v>
      </c>
      <c r="HQ19" s="354" t="e">
        <f>HP19/HP$6</f>
        <v>#DIV/0!</v>
      </c>
      <c r="HR19" s="316">
        <f>HR20+HR21+HR23+HR25</f>
        <v>0</v>
      </c>
      <c r="HS19" s="354" t="e">
        <f>HR19/HR$6</f>
        <v>#DIV/0!</v>
      </c>
      <c r="HT19" s="316">
        <f>HT20+HT21+HT23+HT25</f>
        <v>0</v>
      </c>
      <c r="HU19" s="354" t="e">
        <f>HT19/HT$6</f>
        <v>#DIV/0!</v>
      </c>
      <c r="HV19" s="316">
        <f>HV20+HV21+HV23+HV25</f>
        <v>0</v>
      </c>
      <c r="HW19" s="354" t="e">
        <f>HV19/HV$6</f>
        <v>#DIV/0!</v>
      </c>
      <c r="HX19" s="316">
        <f>HX20+HX21+HX23+HX25</f>
        <v>0</v>
      </c>
      <c r="HY19" s="354" t="e">
        <f>HX19/HX$6</f>
        <v>#DIV/0!</v>
      </c>
      <c r="HZ19" s="316">
        <f>HZ20+HZ21+HZ23+HZ25</f>
        <v>0</v>
      </c>
      <c r="IA19" s="354" t="e">
        <f>HZ19/HZ$6</f>
        <v>#DIV/0!</v>
      </c>
      <c r="IB19" s="316">
        <f>IB20+IB21+IB23+IB25</f>
        <v>0</v>
      </c>
      <c r="IC19" s="354" t="e">
        <f>IB19/IB$6</f>
        <v>#DIV/0!</v>
      </c>
      <c r="ID19" s="316">
        <f>ID20+ID21+ID23+ID25</f>
        <v>0</v>
      </c>
      <c r="IE19" s="354" t="e">
        <f>ID19/ID$6</f>
        <v>#DIV/0!</v>
      </c>
      <c r="IF19" s="316">
        <f>IF20+IF21+IF23+IF25</f>
        <v>0</v>
      </c>
      <c r="IG19" s="354" t="e">
        <f>IF19/IF$6</f>
        <v>#DIV/0!</v>
      </c>
      <c r="IH19" s="316">
        <f>IH20+IH21+IH23+IH25</f>
        <v>0</v>
      </c>
      <c r="II19" s="354" t="e">
        <f>IH19/IH$6</f>
        <v>#DIV/0!</v>
      </c>
      <c r="IJ19" s="316">
        <f>IJ20+IJ21+IJ23+IJ25</f>
        <v>0</v>
      </c>
      <c r="IK19" s="354" t="e">
        <f>IJ19/IJ$6</f>
        <v>#DIV/0!</v>
      </c>
      <c r="IL19" s="333">
        <f>HN19+HP19+HR19+HT19+HV19+HX19+HZ19+IB19+ID19+IF19+IH19+IJ19</f>
        <v>0</v>
      </c>
      <c r="IM19" s="332" t="e">
        <f>IL19/$IL$7</f>
        <v>#DIV/0!</v>
      </c>
    </row>
    <row r="20" spans="2:247" ht="14.4" customHeight="1" x14ac:dyDescent="0.35">
      <c r="B20" s="235">
        <f>L17</f>
        <v>0.55000000000000004</v>
      </c>
      <c r="C20" s="44" t="s">
        <v>342</v>
      </c>
      <c r="D20" s="109">
        <f>$D$19*B20</f>
        <v>4.5540000000000003</v>
      </c>
      <c r="E20" s="112"/>
      <c r="F20" s="112"/>
      <c r="I20" s="44" t="s">
        <v>340</v>
      </c>
      <c r="J20" s="109" t="e">
        <f>D7/J19</f>
        <v>#DIV/0!</v>
      </c>
      <c r="AE20" s="375">
        <f>SUM(AE8:AE19)</f>
        <v>0</v>
      </c>
      <c r="AG20" s="376">
        <f>SUM(AG8:AG19)</f>
        <v>0</v>
      </c>
      <c r="AH20" s="377">
        <f>AVERAGE(AH8:AH19)</f>
        <v>0</v>
      </c>
      <c r="AI20" s="378">
        <f>AVERAGE(AI8:AI19)</f>
        <v>0</v>
      </c>
      <c r="AJ20" s="379" t="e">
        <f>AVERAGE(AJ8:AJ19)</f>
        <v>#DIV/0!</v>
      </c>
      <c r="AK20" s="380" t="e">
        <f>AVERAGE(AK8:AK19)</f>
        <v>#DIV/0!</v>
      </c>
      <c r="AM20" s="368">
        <f t="shared" si="5"/>
        <v>0</v>
      </c>
      <c r="AN20" s="368">
        <f t="shared" si="6"/>
        <v>0</v>
      </c>
      <c r="AO20" s="368">
        <f t="shared" si="7"/>
        <v>0</v>
      </c>
      <c r="AP20" s="368">
        <f t="shared" si="8"/>
        <v>0</v>
      </c>
      <c r="AQ20" s="369" t="s">
        <v>788</v>
      </c>
      <c r="AR20" s="297">
        <f t="shared" si="9"/>
        <v>0</v>
      </c>
      <c r="AS20" s="370" t="e">
        <f t="shared" si="2"/>
        <v>#DIV/0!</v>
      </c>
      <c r="AT20" s="525"/>
      <c r="AU20" s="525"/>
      <c r="AV20" s="299">
        <v>0</v>
      </c>
      <c r="AW20" s="300">
        <v>0</v>
      </c>
      <c r="AX20" s="301"/>
      <c r="AY20" s="527" t="s">
        <v>424</v>
      </c>
      <c r="AZ20" s="527"/>
      <c r="BA20" s="527"/>
      <c r="BB20" s="527"/>
      <c r="BC20" s="527"/>
      <c r="BD20" s="527"/>
      <c r="BE20" s="527"/>
      <c r="BH20" s="525"/>
      <c r="BI20" s="525"/>
      <c r="BJ20" s="370" t="e">
        <f>$AS$18</f>
        <v>#DIV/0!</v>
      </c>
      <c r="BK20" s="242" t="str">
        <f t="shared" si="19"/>
        <v>C13</v>
      </c>
      <c r="BL20" s="303">
        <f t="shared" si="20"/>
        <v>0</v>
      </c>
      <c r="BM20" s="303">
        <f t="shared" si="20"/>
        <v>0</v>
      </c>
      <c r="BN20" s="303">
        <f t="shared" si="20"/>
        <v>0</v>
      </c>
      <c r="BO20" s="303">
        <f t="shared" si="21"/>
        <v>0</v>
      </c>
      <c r="BP20" s="303">
        <f t="shared" si="22"/>
        <v>0</v>
      </c>
      <c r="BQ20" s="303">
        <f t="shared" si="23"/>
        <v>0</v>
      </c>
      <c r="BR20" s="303">
        <f t="shared" si="24"/>
        <v>0</v>
      </c>
      <c r="BS20" s="303">
        <f t="shared" si="25"/>
        <v>0</v>
      </c>
      <c r="BT20" s="303">
        <f t="shared" si="26"/>
        <v>0</v>
      </c>
      <c r="BU20" s="303">
        <f t="shared" si="27"/>
        <v>0</v>
      </c>
      <c r="BV20" s="303">
        <f t="shared" si="28"/>
        <v>0</v>
      </c>
      <c r="BW20" s="303">
        <f t="shared" si="29"/>
        <v>0</v>
      </c>
      <c r="BX20" s="303">
        <f t="shared" si="30"/>
        <v>0</v>
      </c>
      <c r="BY20" s="303">
        <f t="shared" si="31"/>
        <v>0</v>
      </c>
      <c r="BZ20" s="303">
        <f t="shared" si="32"/>
        <v>0</v>
      </c>
      <c r="CB20" s="525"/>
      <c r="CC20" s="525"/>
      <c r="CD20" s="370" t="e">
        <f>$AS$18</f>
        <v>#DIV/0!</v>
      </c>
      <c r="CE20" s="242" t="str">
        <f>Tabla2[[#This Row],[Columna1]]</f>
        <v>C13</v>
      </c>
      <c r="CF20" s="303">
        <f>Tabla29[[#This Row],[Columna3]]/7</f>
        <v>0</v>
      </c>
      <c r="CG20" s="303">
        <f>Tabla29[[#This Row],[Columna4]]/4.2</f>
        <v>0</v>
      </c>
      <c r="CH20" s="303">
        <f>Tabla2[[#This Row],[Columna16]]</f>
        <v>0</v>
      </c>
      <c r="CI20" s="303" t="e">
        <f>(Tabla29[[#This Row],[Columna4]]*CI$5/$BZ$5)*$CH$4</f>
        <v>#DIV/0!</v>
      </c>
      <c r="CJ20" s="303" t="e">
        <f>(Tabla29[[#This Row],[Columna4]]*CJ$5/$BZ$5)*$CH$4</f>
        <v>#DIV/0!</v>
      </c>
      <c r="CK20" s="303" t="e">
        <f>(Tabla29[[#This Row],[Columna4]]*CK$5/$BZ$5)*$CH$4</f>
        <v>#DIV/0!</v>
      </c>
      <c r="CL20" s="303" t="e">
        <f>(Tabla29[[#This Row],[Columna4]]*CL$5/$BZ$5)*$CH$4</f>
        <v>#DIV/0!</v>
      </c>
      <c r="CM20" s="303" t="e">
        <f>(Tabla29[[#This Row],[Columna4]]*CM$5/$BZ$5)*$CH$4</f>
        <v>#DIV/0!</v>
      </c>
      <c r="CN20" s="303" t="e">
        <f>(Tabla29[[#This Row],[Columna4]]*CN$5/$BZ$5)*$CH$4</f>
        <v>#DIV/0!</v>
      </c>
      <c r="CO20" s="303" t="e">
        <f>(Tabla29[[#This Row],[Columna4]]*CO$5/$BZ$5)*$CH$4</f>
        <v>#DIV/0!</v>
      </c>
      <c r="CP20" s="303" t="e">
        <f>(Tabla29[[#This Row],[Columna4]]*CP$5/$BZ$5)*$CH$4</f>
        <v>#DIV/0!</v>
      </c>
      <c r="CQ20" s="303" t="e">
        <f>(Tabla29[[#This Row],[Columna4]]*CQ$5/$BZ$5)*$CH$4</f>
        <v>#DIV/0!</v>
      </c>
      <c r="CR20" s="303" t="e">
        <f>(Tabla29[[#This Row],[Columna4]]*CR$5/$BZ$5)*$CH$4</f>
        <v>#DIV/0!</v>
      </c>
      <c r="CS20" s="303" t="e">
        <f>(Tabla29[[#This Row],[Columna4]]*CS$5/$BZ$5)*$CH$4</f>
        <v>#DIV/0!</v>
      </c>
      <c r="CT20" s="303" t="e">
        <f>(Tabla29[[#This Row],[Columna4]]*CT$5/$BZ$5)*$CH$4</f>
        <v>#DIV/0!</v>
      </c>
      <c r="CV20" s="525"/>
      <c r="CW20" s="525"/>
      <c r="CX20" s="370" t="e">
        <f>$AS$18</f>
        <v>#DIV/0!</v>
      </c>
      <c r="CY20" s="242" t="str">
        <f>Tabla2[[#This Row],[Columna1]]</f>
        <v>C13</v>
      </c>
      <c r="CZ20" s="303" t="e">
        <f>Tabla292[[#This Row],[Columna3]]/7</f>
        <v>#DIV/0!</v>
      </c>
      <c r="DA20" s="303" t="e">
        <f>Tabla292[[#This Row],[Columna4]]/4.2</f>
        <v>#DIV/0!</v>
      </c>
      <c r="DB20" s="303" t="e">
        <f>Tabla29[[#This Row],[Columna16]]</f>
        <v>#DIV/0!</v>
      </c>
      <c r="DC20" s="303" t="e">
        <f>(Tabla292[[#This Row],[Columna4]]*DC$5/$CT$5)*$DB$4</f>
        <v>#DIV/0!</v>
      </c>
      <c r="DD20" s="303" t="e">
        <f>(Tabla292[[#This Row],[Columna4]]*DD$5/$CT$5)*$DB$4</f>
        <v>#DIV/0!</v>
      </c>
      <c r="DE20" s="303" t="e">
        <f>(Tabla292[[#This Row],[Columna4]]*DE$5/$CT$5)*$DB$4</f>
        <v>#DIV/0!</v>
      </c>
      <c r="DF20" s="303" t="e">
        <f>(Tabla292[[#This Row],[Columna4]]*DF$5/$CT$5)*$DB$4</f>
        <v>#DIV/0!</v>
      </c>
      <c r="DG20" s="303" t="e">
        <f>(Tabla292[[#This Row],[Columna4]]*DG$5/$CT$5)*$DB$4</f>
        <v>#DIV/0!</v>
      </c>
      <c r="DH20" s="303" t="e">
        <f>(Tabla292[[#This Row],[Columna4]]*DH$5/$CT$5)*$DB$4</f>
        <v>#DIV/0!</v>
      </c>
      <c r="DI20" s="303" t="e">
        <f>(Tabla292[[#This Row],[Columna4]]*DI$5/$CT$5)*$DB$4</f>
        <v>#DIV/0!</v>
      </c>
      <c r="DJ20" s="303" t="e">
        <f>(Tabla292[[#This Row],[Columna4]]*DJ$5/$CT$5)*$DB$4</f>
        <v>#DIV/0!</v>
      </c>
      <c r="DK20" s="303" t="e">
        <f>(Tabla292[[#This Row],[Columna4]]*DK$5/$CT$5)*$DB$4</f>
        <v>#DIV/0!</v>
      </c>
      <c r="DL20" s="303" t="e">
        <f>(Tabla292[[#This Row],[Columna4]]*DL$5/$CT$5)*$DB$4</f>
        <v>#DIV/0!</v>
      </c>
      <c r="DM20" s="303" t="e">
        <f>(Tabla292[[#This Row],[Columna4]]*DM$5/$CT$5)*$DB$4</f>
        <v>#DIV/0!</v>
      </c>
      <c r="DN20" s="303" t="e">
        <f>(Tabla292[[#This Row],[Columna4]]*DN$5/$CT$5)*$DB$4</f>
        <v>#DIV/0!</v>
      </c>
      <c r="DP20" s="525"/>
      <c r="DQ20" s="525"/>
      <c r="DR20" s="370" t="e">
        <f>$AS$18</f>
        <v>#DIV/0!</v>
      </c>
      <c r="DS20" s="242" t="str">
        <f>Tabla2[[#This Row],[Columna1]]</f>
        <v>C13</v>
      </c>
      <c r="DT20" s="303" t="e">
        <f>Tabla2926[[#This Row],[Columna3]]/7</f>
        <v>#DIV/0!</v>
      </c>
      <c r="DU20" s="303" t="e">
        <f>Tabla2926[[#This Row],[Columna4]]/4.2</f>
        <v>#DIV/0!</v>
      </c>
      <c r="DV20" s="303" t="e">
        <f>Tabla292[[#This Row],[Columna16]]</f>
        <v>#DIV/0!</v>
      </c>
      <c r="DW20" s="303" t="e">
        <f>(Tabla2926[[#This Row],[Columna4]]*DW$5/$DN$5)*$DV$4</f>
        <v>#DIV/0!</v>
      </c>
      <c r="DX20" s="303" t="e">
        <f>(Tabla2926[[#This Row],[Columna4]]*DX$5/$DN$5)*$DV$4</f>
        <v>#DIV/0!</v>
      </c>
      <c r="DY20" s="303" t="e">
        <f>(Tabla2926[[#This Row],[Columna4]]*DY$5/$DN$5)*$DV$4</f>
        <v>#DIV/0!</v>
      </c>
      <c r="DZ20" s="303" t="e">
        <f>(Tabla2926[[#This Row],[Columna4]]*DZ$5/$DN$5)*$DV$4</f>
        <v>#DIV/0!</v>
      </c>
      <c r="EA20" s="303" t="e">
        <f>(Tabla2926[[#This Row],[Columna4]]*EA$5/$DN$5)*$DV$4</f>
        <v>#DIV/0!</v>
      </c>
      <c r="EB20" s="303" t="e">
        <f>(Tabla2926[[#This Row],[Columna4]]*EB$5/$DN$5)*$DV$4</f>
        <v>#DIV/0!</v>
      </c>
      <c r="EC20" s="303" t="e">
        <f>(Tabla2926[[#This Row],[Columna4]]*EC$5/$DN$5)*$DV$4</f>
        <v>#DIV/0!</v>
      </c>
      <c r="ED20" s="303" t="e">
        <f>(Tabla2926[[#This Row],[Columna4]]*ED$5/$DN$5)*$DV$4</f>
        <v>#DIV/0!</v>
      </c>
      <c r="EE20" s="303" t="e">
        <f>(Tabla2926[[#This Row],[Columna4]]*EE$5/$DN$5)*$DV$4</f>
        <v>#DIV/0!</v>
      </c>
      <c r="EF20" s="303" t="e">
        <f>(Tabla2926[[#This Row],[Columna4]]*EF$5/$DN$5)*$DV$4</f>
        <v>#DIV/0!</v>
      </c>
      <c r="EG20" s="303" t="e">
        <f>(Tabla2926[[#This Row],[Columna4]]*EG$5/$DN$5)*$DV$4</f>
        <v>#DIV/0!</v>
      </c>
      <c r="EH20" s="303" t="e">
        <f>(Tabla2926[[#This Row],[Columna4]]*EH$5/$DN$5)*$DV$4</f>
        <v>#DIV/0!</v>
      </c>
      <c r="EJ20" s="525"/>
      <c r="EK20" s="525"/>
      <c r="EL20" s="370" t="e">
        <f>$AS$18</f>
        <v>#DIV/0!</v>
      </c>
      <c r="EM20" s="242" t="str">
        <f>Tabla2[[#This Row],[Columna1]]</f>
        <v>C13</v>
      </c>
      <c r="EN20" s="303" t="e">
        <f>Tabla29268[[#This Row],[Columna3]]/7</f>
        <v>#DIV/0!</v>
      </c>
      <c r="EO20" s="303" t="e">
        <f>Tabla29268[[#This Row],[Columna4]]/4.2</f>
        <v>#DIV/0!</v>
      </c>
      <c r="EP20" s="303" t="e">
        <f>Tabla2926[[#This Row],[Columna16]]</f>
        <v>#DIV/0!</v>
      </c>
      <c r="EQ20" s="303" t="e">
        <f>(Tabla29268[[#This Row],[Columna4]]*EQ$5/$EH$5)*$EP$4</f>
        <v>#DIV/0!</v>
      </c>
      <c r="ER20" s="303" t="e">
        <f>(Tabla29268[[#This Row],[Columna4]]*ER$5/$EH$5)*$EP$4</f>
        <v>#DIV/0!</v>
      </c>
      <c r="ES20" s="303" t="e">
        <f>(Tabla29268[[#This Row],[Columna4]]*ES$5/$EH$5)*$EP$4</f>
        <v>#DIV/0!</v>
      </c>
      <c r="ET20" s="303" t="e">
        <f>(Tabla29268[[#This Row],[Columna4]]*ET$5/$EH$5)*$EP$4</f>
        <v>#DIV/0!</v>
      </c>
      <c r="EU20" s="303" t="e">
        <f>(Tabla29268[[#This Row],[Columna4]]*EU$5/$EH$5)*$EP$4</f>
        <v>#DIV/0!</v>
      </c>
      <c r="EV20" s="303" t="e">
        <f>(Tabla29268[[#This Row],[Columna4]]*EV$5/$EH$5)*$EP$4</f>
        <v>#DIV/0!</v>
      </c>
      <c r="EW20" s="303" t="e">
        <f>(Tabla29268[[#This Row],[Columna4]]*EW$5/$EH$5)*$EP$4</f>
        <v>#DIV/0!</v>
      </c>
      <c r="EX20" s="303" t="e">
        <f>(Tabla29268[[#This Row],[Columna4]]*EX$5/$EH$5)*$EP$4</f>
        <v>#DIV/0!</v>
      </c>
      <c r="EY20" s="303" t="e">
        <f>(Tabla29268[[#This Row],[Columna4]]*EY$5/$EH$5)*$EP$4</f>
        <v>#DIV/0!</v>
      </c>
      <c r="EZ20" s="303" t="e">
        <f>(Tabla29268[[#This Row],[Columna4]]*EZ$5/$EH$5)*$EP$4</f>
        <v>#DIV/0!</v>
      </c>
      <c r="FA20" s="303" t="e">
        <f>(Tabla29268[[#This Row],[Columna4]]*FA$5/$EH$5)*$EP$4</f>
        <v>#DIV/0!</v>
      </c>
      <c r="FB20" s="303" t="e">
        <f>(Tabla29268[[#This Row],[Columna4]]*FB$5/$EH$5)*$EP$4</f>
        <v>#DIV/0!</v>
      </c>
      <c r="FE20" s="361"/>
      <c r="FF20" s="362"/>
      <c r="FG20" s="362"/>
      <c r="FH20" s="362"/>
      <c r="FI20" s="362"/>
      <c r="FJ20" s="362"/>
      <c r="FK20" s="362"/>
      <c r="FL20" s="362"/>
      <c r="FM20" s="362"/>
      <c r="FN20" s="362"/>
      <c r="FO20" s="362"/>
      <c r="FP20" s="362"/>
      <c r="FQ20" s="362"/>
      <c r="FR20" s="363"/>
      <c r="FS20" s="364"/>
      <c r="FV20" s="361"/>
      <c r="FW20" s="362"/>
      <c r="FX20" s="362"/>
      <c r="FY20" s="362"/>
      <c r="FZ20" s="362"/>
      <c r="GA20" s="362"/>
      <c r="GB20" s="362"/>
      <c r="GC20" s="362"/>
      <c r="GD20" s="362"/>
      <c r="GE20" s="362"/>
      <c r="GF20" s="362"/>
      <c r="GG20" s="362"/>
      <c r="GH20" s="362"/>
      <c r="GI20" s="362"/>
      <c r="GJ20" s="365"/>
      <c r="GL20" s="250">
        <f>GL18+1</f>
        <v>11</v>
      </c>
      <c r="GM20" s="352" t="s">
        <v>463</v>
      </c>
      <c r="GN20" s="353" t="e">
        <f t="shared" ref="GN20:GY20" si="124">FF33</f>
        <v>#DIV/0!</v>
      </c>
      <c r="GO20" s="353" t="e">
        <f t="shared" si="124"/>
        <v>#DIV/0!</v>
      </c>
      <c r="GP20" s="353" t="e">
        <f t="shared" si="124"/>
        <v>#DIV/0!</v>
      </c>
      <c r="GQ20" s="353" t="e">
        <f t="shared" si="124"/>
        <v>#DIV/0!</v>
      </c>
      <c r="GR20" s="353" t="e">
        <f t="shared" si="124"/>
        <v>#DIV/0!</v>
      </c>
      <c r="GS20" s="353" t="e">
        <f t="shared" si="124"/>
        <v>#DIV/0!</v>
      </c>
      <c r="GT20" s="353" t="e">
        <f t="shared" si="124"/>
        <v>#DIV/0!</v>
      </c>
      <c r="GU20" s="353" t="e">
        <f t="shared" si="124"/>
        <v>#DIV/0!</v>
      </c>
      <c r="GV20" s="353" t="e">
        <f t="shared" si="124"/>
        <v>#DIV/0!</v>
      </c>
      <c r="GW20" s="353" t="e">
        <f t="shared" si="124"/>
        <v>#DIV/0!</v>
      </c>
      <c r="GX20" s="353" t="e">
        <f t="shared" si="124"/>
        <v>#DIV/0!</v>
      </c>
      <c r="GY20" s="353" t="e">
        <f t="shared" si="124"/>
        <v>#DIV/0!</v>
      </c>
      <c r="GZ20" s="328" t="e">
        <f t="shared" ref="GZ20:GZ32" si="125">SUM(GN20:GY20)</f>
        <v>#DIV/0!</v>
      </c>
      <c r="HA20" s="329" t="e">
        <f t="shared" si="55"/>
        <v>#DIV/0!</v>
      </c>
      <c r="HB20" s="244" t="e">
        <f>GZ20=FR33</f>
        <v>#DIV/0!</v>
      </c>
      <c r="HD20" s="65" t="s">
        <v>789</v>
      </c>
      <c r="HE20" s="66">
        <v>0</v>
      </c>
      <c r="HF20" s="67">
        <f t="shared" si="77"/>
        <v>0</v>
      </c>
      <c r="HG20" s="68">
        <f t="shared" si="78"/>
        <v>0</v>
      </c>
      <c r="HH20" s="69">
        <v>1</v>
      </c>
      <c r="HI20" s="367">
        <v>0</v>
      </c>
      <c r="HJ20" s="140"/>
      <c r="HM20" s="381" t="s">
        <v>590</v>
      </c>
      <c r="HN20" s="316">
        <f>$GN$15</f>
        <v>0</v>
      </c>
      <c r="HO20" s="354" t="e">
        <f>HN20/HN$6</f>
        <v>#DIV/0!</v>
      </c>
      <c r="HP20" s="316">
        <f>$GO$15</f>
        <v>0</v>
      </c>
      <c r="HQ20" s="354" t="e">
        <f>HP20/HP$6</f>
        <v>#DIV/0!</v>
      </c>
      <c r="HR20" s="316">
        <f>$GP$15</f>
        <v>0</v>
      </c>
      <c r="HS20" s="354" t="e">
        <f>HR20/HR$6</f>
        <v>#DIV/0!</v>
      </c>
      <c r="HT20" s="316">
        <f>$GQ$15</f>
        <v>0</v>
      </c>
      <c r="HU20" s="354" t="e">
        <f>HT20/HT$6</f>
        <v>#DIV/0!</v>
      </c>
      <c r="HV20" s="316">
        <f>$GR$15</f>
        <v>0</v>
      </c>
      <c r="HW20" s="354" t="e">
        <f>HV20/HV$6</f>
        <v>#DIV/0!</v>
      </c>
      <c r="HX20" s="316">
        <f>$GS$15</f>
        <v>0</v>
      </c>
      <c r="HY20" s="354" t="e">
        <f>HX20/HX$6</f>
        <v>#DIV/0!</v>
      </c>
      <c r="HZ20" s="316">
        <f>$GT$15</f>
        <v>0</v>
      </c>
      <c r="IA20" s="354" t="e">
        <f>HZ20/HZ$6</f>
        <v>#DIV/0!</v>
      </c>
      <c r="IB20" s="316">
        <f>$GU$15</f>
        <v>0</v>
      </c>
      <c r="IC20" s="354" t="e">
        <f>IB20/IB$6</f>
        <v>#DIV/0!</v>
      </c>
      <c r="ID20" s="316">
        <f>$GV$15</f>
        <v>0</v>
      </c>
      <c r="IE20" s="354" t="e">
        <f>ID20/ID$6</f>
        <v>#DIV/0!</v>
      </c>
      <c r="IF20" s="316">
        <f>$GW$15</f>
        <v>0</v>
      </c>
      <c r="IG20" s="354" t="e">
        <f>IF20/IF$6</f>
        <v>#DIV/0!</v>
      </c>
      <c r="IH20" s="316">
        <f>$GX$15</f>
        <v>0</v>
      </c>
      <c r="II20" s="354" t="e">
        <f>IH20/IH$6</f>
        <v>#DIV/0!</v>
      </c>
      <c r="IJ20" s="316">
        <f>$GY$15</f>
        <v>0</v>
      </c>
      <c r="IK20" s="354" t="e">
        <f>IJ20/IJ$6</f>
        <v>#DIV/0!</v>
      </c>
      <c r="IL20" s="333">
        <f>HN20+HP20+HR20+HT20+HV20+HX20+HZ20+IB20+ID20+IF20+IH20+IJ20</f>
        <v>0</v>
      </c>
      <c r="IM20" s="332" t="e">
        <f>IL20/$IL$7</f>
        <v>#DIV/0!</v>
      </c>
    </row>
    <row r="21" spans="2:247" ht="14.4" customHeight="1" x14ac:dyDescent="0.3">
      <c r="B21" s="235">
        <v>0.25</v>
      </c>
      <c r="C21" s="44" t="s">
        <v>345</v>
      </c>
      <c r="D21" s="109">
        <f>$D$19*B21</f>
        <v>2.0699999999999998</v>
      </c>
      <c r="E21" s="112"/>
      <c r="F21" s="112"/>
      <c r="I21" s="44" t="s">
        <v>343</v>
      </c>
      <c r="J21" s="48">
        <f>(J22*4)/2</f>
        <v>0</v>
      </c>
      <c r="AM21" s="368">
        <f t="shared" si="5"/>
        <v>0</v>
      </c>
      <c r="AN21" s="368">
        <f t="shared" si="6"/>
        <v>0</v>
      </c>
      <c r="AO21" s="368">
        <f t="shared" si="7"/>
        <v>0</v>
      </c>
      <c r="AP21" s="368">
        <f t="shared" si="8"/>
        <v>0</v>
      </c>
      <c r="AQ21" s="369" t="s">
        <v>790</v>
      </c>
      <c r="AR21" s="297">
        <f t="shared" si="9"/>
        <v>0</v>
      </c>
      <c r="AS21" s="370" t="e">
        <f t="shared" si="2"/>
        <v>#DIV/0!</v>
      </c>
      <c r="AT21" s="525"/>
      <c r="AU21" s="525"/>
      <c r="AV21" s="299">
        <v>0</v>
      </c>
      <c r="AW21" s="300">
        <v>0</v>
      </c>
      <c r="AX21" s="301"/>
      <c r="AY21" s="272" t="s">
        <v>427</v>
      </c>
      <c r="AZ21" s="272">
        <v>2023</v>
      </c>
      <c r="BA21" s="272">
        <f>AZ21+1</f>
        <v>2024</v>
      </c>
      <c r="BB21" s="272">
        <f t="shared" ref="BB21:BD21" si="126">BA21+1</f>
        <v>2025</v>
      </c>
      <c r="BC21" s="272">
        <f t="shared" si="126"/>
        <v>2026</v>
      </c>
      <c r="BD21" s="272">
        <f t="shared" si="126"/>
        <v>2027</v>
      </c>
      <c r="BE21" s="272" t="s">
        <v>425</v>
      </c>
      <c r="BH21" s="525"/>
      <c r="BI21" s="525"/>
      <c r="BJ21" s="370" t="e">
        <f>$AS$19</f>
        <v>#DIV/0!</v>
      </c>
      <c r="BK21" s="242" t="str">
        <f t="shared" si="19"/>
        <v>C14</v>
      </c>
      <c r="BL21" s="303">
        <f t="shared" si="20"/>
        <v>0</v>
      </c>
      <c r="BM21" s="303">
        <f t="shared" si="20"/>
        <v>0</v>
      </c>
      <c r="BN21" s="303">
        <f t="shared" si="20"/>
        <v>0</v>
      </c>
      <c r="BO21" s="303">
        <f t="shared" si="21"/>
        <v>0</v>
      </c>
      <c r="BP21" s="303">
        <f t="shared" si="22"/>
        <v>0</v>
      </c>
      <c r="BQ21" s="303">
        <f t="shared" si="23"/>
        <v>0</v>
      </c>
      <c r="BR21" s="303">
        <f t="shared" si="24"/>
        <v>0</v>
      </c>
      <c r="BS21" s="303">
        <f t="shared" si="25"/>
        <v>0</v>
      </c>
      <c r="BT21" s="303">
        <f t="shared" si="26"/>
        <v>0</v>
      </c>
      <c r="BU21" s="303">
        <f t="shared" si="27"/>
        <v>0</v>
      </c>
      <c r="BV21" s="303">
        <f t="shared" si="28"/>
        <v>0</v>
      </c>
      <c r="BW21" s="303">
        <f t="shared" si="29"/>
        <v>0</v>
      </c>
      <c r="BX21" s="303">
        <f t="shared" si="30"/>
        <v>0</v>
      </c>
      <c r="BY21" s="303">
        <f t="shared" si="31"/>
        <v>0</v>
      </c>
      <c r="BZ21" s="303">
        <f t="shared" si="32"/>
        <v>0</v>
      </c>
      <c r="CB21" s="525"/>
      <c r="CC21" s="525"/>
      <c r="CD21" s="370" t="e">
        <f>$AS$19</f>
        <v>#DIV/0!</v>
      </c>
      <c r="CE21" s="242" t="str">
        <f>Tabla2[[#This Row],[Columna1]]</f>
        <v>C14</v>
      </c>
      <c r="CF21" s="303">
        <f>Tabla29[[#This Row],[Columna3]]/7</f>
        <v>0</v>
      </c>
      <c r="CG21" s="303">
        <f>Tabla29[[#This Row],[Columna4]]/4.2</f>
        <v>0</v>
      </c>
      <c r="CH21" s="303">
        <f>Tabla2[[#This Row],[Columna16]]</f>
        <v>0</v>
      </c>
      <c r="CI21" s="303" t="e">
        <f>(Tabla29[[#This Row],[Columna4]]*CI$5/$BZ$5)*$CH$4</f>
        <v>#DIV/0!</v>
      </c>
      <c r="CJ21" s="303" t="e">
        <f>(Tabla29[[#This Row],[Columna4]]*CJ$5/$BZ$5)*$CH$4</f>
        <v>#DIV/0!</v>
      </c>
      <c r="CK21" s="303" t="e">
        <f>(Tabla29[[#This Row],[Columna4]]*CK$5/$BZ$5)*$CH$4</f>
        <v>#DIV/0!</v>
      </c>
      <c r="CL21" s="303" t="e">
        <f>(Tabla29[[#This Row],[Columna4]]*CL$5/$BZ$5)*$CH$4</f>
        <v>#DIV/0!</v>
      </c>
      <c r="CM21" s="303" t="e">
        <f>(Tabla29[[#This Row],[Columna4]]*CM$5/$BZ$5)*$CH$4</f>
        <v>#DIV/0!</v>
      </c>
      <c r="CN21" s="303" t="e">
        <f>(Tabla29[[#This Row],[Columna4]]*CN$5/$BZ$5)*$CH$4</f>
        <v>#DIV/0!</v>
      </c>
      <c r="CO21" s="303" t="e">
        <f>(Tabla29[[#This Row],[Columna4]]*CO$5/$BZ$5)*$CH$4</f>
        <v>#DIV/0!</v>
      </c>
      <c r="CP21" s="303" t="e">
        <f>(Tabla29[[#This Row],[Columna4]]*CP$5/$BZ$5)*$CH$4</f>
        <v>#DIV/0!</v>
      </c>
      <c r="CQ21" s="303" t="e">
        <f>(Tabla29[[#This Row],[Columna4]]*CQ$5/$BZ$5)*$CH$4</f>
        <v>#DIV/0!</v>
      </c>
      <c r="CR21" s="303" t="e">
        <f>(Tabla29[[#This Row],[Columna4]]*CR$5/$BZ$5)*$CH$4</f>
        <v>#DIV/0!</v>
      </c>
      <c r="CS21" s="303" t="e">
        <f>(Tabla29[[#This Row],[Columna4]]*CS$5/$BZ$5)*$CH$4</f>
        <v>#DIV/0!</v>
      </c>
      <c r="CT21" s="303" t="e">
        <f>(Tabla29[[#This Row],[Columna4]]*CT$5/$BZ$5)*$CH$4</f>
        <v>#DIV/0!</v>
      </c>
      <c r="CV21" s="525"/>
      <c r="CW21" s="525"/>
      <c r="CX21" s="370" t="e">
        <f>$AS$19</f>
        <v>#DIV/0!</v>
      </c>
      <c r="CY21" s="242" t="str">
        <f>Tabla2[[#This Row],[Columna1]]</f>
        <v>C14</v>
      </c>
      <c r="CZ21" s="303" t="e">
        <f>Tabla292[[#This Row],[Columna3]]/7</f>
        <v>#DIV/0!</v>
      </c>
      <c r="DA21" s="303" t="e">
        <f>Tabla292[[#This Row],[Columna4]]/4.2</f>
        <v>#DIV/0!</v>
      </c>
      <c r="DB21" s="303" t="e">
        <f>Tabla29[[#This Row],[Columna16]]</f>
        <v>#DIV/0!</v>
      </c>
      <c r="DC21" s="303" t="e">
        <f>(Tabla292[[#This Row],[Columna4]]*DC$5/$CT$5)*$DB$4</f>
        <v>#DIV/0!</v>
      </c>
      <c r="DD21" s="303" t="e">
        <f>(Tabla292[[#This Row],[Columna4]]*DD$5/$CT$5)*$DB$4</f>
        <v>#DIV/0!</v>
      </c>
      <c r="DE21" s="303" t="e">
        <f>(Tabla292[[#This Row],[Columna4]]*DE$5/$CT$5)*$DB$4</f>
        <v>#DIV/0!</v>
      </c>
      <c r="DF21" s="303" t="e">
        <f>(Tabla292[[#This Row],[Columna4]]*DF$5/$CT$5)*$DB$4</f>
        <v>#DIV/0!</v>
      </c>
      <c r="DG21" s="303" t="e">
        <f>(Tabla292[[#This Row],[Columna4]]*DG$5/$CT$5)*$DB$4</f>
        <v>#DIV/0!</v>
      </c>
      <c r="DH21" s="303" t="e">
        <f>(Tabla292[[#This Row],[Columna4]]*DH$5/$CT$5)*$DB$4</f>
        <v>#DIV/0!</v>
      </c>
      <c r="DI21" s="303" t="e">
        <f>(Tabla292[[#This Row],[Columna4]]*DI$5/$CT$5)*$DB$4</f>
        <v>#DIV/0!</v>
      </c>
      <c r="DJ21" s="303" t="e">
        <f>(Tabla292[[#This Row],[Columna4]]*DJ$5/$CT$5)*$DB$4</f>
        <v>#DIV/0!</v>
      </c>
      <c r="DK21" s="303" t="e">
        <f>(Tabla292[[#This Row],[Columna4]]*DK$5/$CT$5)*$DB$4</f>
        <v>#DIV/0!</v>
      </c>
      <c r="DL21" s="303" t="e">
        <f>(Tabla292[[#This Row],[Columna4]]*DL$5/$CT$5)*$DB$4</f>
        <v>#DIV/0!</v>
      </c>
      <c r="DM21" s="303" t="e">
        <f>(Tabla292[[#This Row],[Columna4]]*DM$5/$CT$5)*$DB$4</f>
        <v>#DIV/0!</v>
      </c>
      <c r="DN21" s="303" t="e">
        <f>(Tabla292[[#This Row],[Columna4]]*DN$5/$CT$5)*$DB$4</f>
        <v>#DIV/0!</v>
      </c>
      <c r="DP21" s="525"/>
      <c r="DQ21" s="525"/>
      <c r="DR21" s="370" t="e">
        <f>$AS$19</f>
        <v>#DIV/0!</v>
      </c>
      <c r="DS21" s="242" t="str">
        <f>Tabla2[[#This Row],[Columna1]]</f>
        <v>C14</v>
      </c>
      <c r="DT21" s="303" t="e">
        <f>Tabla2926[[#This Row],[Columna3]]/7</f>
        <v>#DIV/0!</v>
      </c>
      <c r="DU21" s="303" t="e">
        <f>Tabla2926[[#This Row],[Columna4]]/4.2</f>
        <v>#DIV/0!</v>
      </c>
      <c r="DV21" s="303" t="e">
        <f>Tabla292[[#This Row],[Columna16]]</f>
        <v>#DIV/0!</v>
      </c>
      <c r="DW21" s="303" t="e">
        <f>(Tabla2926[[#This Row],[Columna4]]*DW$5/$DN$5)*$DV$4</f>
        <v>#DIV/0!</v>
      </c>
      <c r="DX21" s="303" t="e">
        <f>(Tabla2926[[#This Row],[Columna4]]*DX$5/$DN$5)*$DV$4</f>
        <v>#DIV/0!</v>
      </c>
      <c r="DY21" s="303" t="e">
        <f>(Tabla2926[[#This Row],[Columna4]]*DY$5/$DN$5)*$DV$4</f>
        <v>#DIV/0!</v>
      </c>
      <c r="DZ21" s="303" t="e">
        <f>(Tabla2926[[#This Row],[Columna4]]*DZ$5/$DN$5)*$DV$4</f>
        <v>#DIV/0!</v>
      </c>
      <c r="EA21" s="303" t="e">
        <f>(Tabla2926[[#This Row],[Columna4]]*EA$5/$DN$5)*$DV$4</f>
        <v>#DIV/0!</v>
      </c>
      <c r="EB21" s="303" t="e">
        <f>(Tabla2926[[#This Row],[Columna4]]*EB$5/$DN$5)*$DV$4</f>
        <v>#DIV/0!</v>
      </c>
      <c r="EC21" s="303" t="e">
        <f>(Tabla2926[[#This Row],[Columna4]]*EC$5/$DN$5)*$DV$4</f>
        <v>#DIV/0!</v>
      </c>
      <c r="ED21" s="303" t="e">
        <f>(Tabla2926[[#This Row],[Columna4]]*ED$5/$DN$5)*$DV$4</f>
        <v>#DIV/0!</v>
      </c>
      <c r="EE21" s="303" t="e">
        <f>(Tabla2926[[#This Row],[Columna4]]*EE$5/$DN$5)*$DV$4</f>
        <v>#DIV/0!</v>
      </c>
      <c r="EF21" s="303" t="e">
        <f>(Tabla2926[[#This Row],[Columna4]]*EF$5/$DN$5)*$DV$4</f>
        <v>#DIV/0!</v>
      </c>
      <c r="EG21" s="303" t="e">
        <f>(Tabla2926[[#This Row],[Columna4]]*EG$5/$DN$5)*$DV$4</f>
        <v>#DIV/0!</v>
      </c>
      <c r="EH21" s="303" t="e">
        <f>(Tabla2926[[#This Row],[Columna4]]*EH$5/$DN$5)*$DV$4</f>
        <v>#DIV/0!</v>
      </c>
      <c r="EJ21" s="525"/>
      <c r="EK21" s="525"/>
      <c r="EL21" s="370" t="e">
        <f>$AS$19</f>
        <v>#DIV/0!</v>
      </c>
      <c r="EM21" s="242" t="str">
        <f>Tabla2[[#This Row],[Columna1]]</f>
        <v>C14</v>
      </c>
      <c r="EN21" s="303" t="e">
        <f>Tabla29268[[#This Row],[Columna3]]/7</f>
        <v>#DIV/0!</v>
      </c>
      <c r="EO21" s="303" t="e">
        <f>Tabla29268[[#This Row],[Columna4]]/4.2</f>
        <v>#DIV/0!</v>
      </c>
      <c r="EP21" s="303" t="e">
        <f>Tabla2926[[#This Row],[Columna16]]</f>
        <v>#DIV/0!</v>
      </c>
      <c r="EQ21" s="303" t="e">
        <f>(Tabla29268[[#This Row],[Columna4]]*EQ$5/$EH$5)*$EP$4</f>
        <v>#DIV/0!</v>
      </c>
      <c r="ER21" s="303" t="e">
        <f>(Tabla29268[[#This Row],[Columna4]]*ER$5/$EH$5)*$EP$4</f>
        <v>#DIV/0!</v>
      </c>
      <c r="ES21" s="303" t="e">
        <f>(Tabla29268[[#This Row],[Columna4]]*ES$5/$EH$5)*$EP$4</f>
        <v>#DIV/0!</v>
      </c>
      <c r="ET21" s="303" t="e">
        <f>(Tabla29268[[#This Row],[Columna4]]*ET$5/$EH$5)*$EP$4</f>
        <v>#DIV/0!</v>
      </c>
      <c r="EU21" s="303" t="e">
        <f>(Tabla29268[[#This Row],[Columna4]]*EU$5/$EH$5)*$EP$4</f>
        <v>#DIV/0!</v>
      </c>
      <c r="EV21" s="303" t="e">
        <f>(Tabla29268[[#This Row],[Columna4]]*EV$5/$EH$5)*$EP$4</f>
        <v>#DIV/0!</v>
      </c>
      <c r="EW21" s="303" t="e">
        <f>(Tabla29268[[#This Row],[Columna4]]*EW$5/$EH$5)*$EP$4</f>
        <v>#DIV/0!</v>
      </c>
      <c r="EX21" s="303" t="e">
        <f>(Tabla29268[[#This Row],[Columna4]]*EX$5/$EH$5)*$EP$4</f>
        <v>#DIV/0!</v>
      </c>
      <c r="EY21" s="303" t="e">
        <f>(Tabla29268[[#This Row],[Columna4]]*EY$5/$EH$5)*$EP$4</f>
        <v>#DIV/0!</v>
      </c>
      <c r="EZ21" s="303" t="e">
        <f>(Tabla29268[[#This Row],[Columna4]]*EZ$5/$EH$5)*$EP$4</f>
        <v>#DIV/0!</v>
      </c>
      <c r="FA21" s="303" t="e">
        <f>(Tabla29268[[#This Row],[Columna4]]*FA$5/$EH$5)*$EP$4</f>
        <v>#DIV/0!</v>
      </c>
      <c r="FB21" s="303" t="e">
        <f>(Tabla29268[[#This Row],[Columna4]]*FB$5/$EH$5)*$EP$4</f>
        <v>#DIV/0!</v>
      </c>
      <c r="FE21" s="357" t="s">
        <v>252</v>
      </c>
      <c r="FF21" s="358" t="e">
        <f>+FF17-FF19</f>
        <v>#DIV/0!</v>
      </c>
      <c r="FG21" s="358" t="e">
        <f t="shared" ref="FG21:FQ21" si="127">+FG17-FG19</f>
        <v>#DIV/0!</v>
      </c>
      <c r="FH21" s="358" t="e">
        <f t="shared" si="127"/>
        <v>#DIV/0!</v>
      </c>
      <c r="FI21" s="358" t="e">
        <f t="shared" si="127"/>
        <v>#DIV/0!</v>
      </c>
      <c r="FJ21" s="358" t="e">
        <f t="shared" si="127"/>
        <v>#DIV/0!</v>
      </c>
      <c r="FK21" s="358" t="e">
        <f t="shared" si="127"/>
        <v>#DIV/0!</v>
      </c>
      <c r="FL21" s="358" t="e">
        <f t="shared" si="127"/>
        <v>#DIV/0!</v>
      </c>
      <c r="FM21" s="358" t="e">
        <f t="shared" si="127"/>
        <v>#DIV/0!</v>
      </c>
      <c r="FN21" s="358" t="e">
        <f t="shared" si="127"/>
        <v>#DIV/0!</v>
      </c>
      <c r="FO21" s="358" t="e">
        <f t="shared" si="127"/>
        <v>#DIV/0!</v>
      </c>
      <c r="FP21" s="358" t="e">
        <f t="shared" si="127"/>
        <v>#DIV/0!</v>
      </c>
      <c r="FQ21" s="358" t="e">
        <f t="shared" si="127"/>
        <v>#DIV/0!</v>
      </c>
      <c r="FR21" s="359" t="e">
        <f t="shared" ref="FR21" si="128">SUM(FF21:FQ21)</f>
        <v>#DIV/0!</v>
      </c>
      <c r="FS21" s="260" t="e">
        <f>FR21/$FR$6</f>
        <v>#DIV/0!</v>
      </c>
      <c r="FV21" s="357" t="s">
        <v>252</v>
      </c>
      <c r="FW21" s="358" t="e">
        <f>+FW17-FW19</f>
        <v>#DIV/0!</v>
      </c>
      <c r="FX21" s="358" t="e">
        <f t="shared" ref="FX21:GH21" si="129">+FX17-FX19</f>
        <v>#DIV/0!</v>
      </c>
      <c r="FY21" s="358" t="e">
        <f t="shared" si="129"/>
        <v>#DIV/0!</v>
      </c>
      <c r="FZ21" s="358" t="e">
        <f t="shared" si="129"/>
        <v>#DIV/0!</v>
      </c>
      <c r="GA21" s="358" t="e">
        <f t="shared" si="129"/>
        <v>#DIV/0!</v>
      </c>
      <c r="GB21" s="358" t="e">
        <f t="shared" si="129"/>
        <v>#DIV/0!</v>
      </c>
      <c r="GC21" s="358" t="e">
        <f t="shared" si="129"/>
        <v>#DIV/0!</v>
      </c>
      <c r="GD21" s="358" t="e">
        <f t="shared" si="129"/>
        <v>#DIV/0!</v>
      </c>
      <c r="GE21" s="358" t="e">
        <f t="shared" si="129"/>
        <v>#DIV/0!</v>
      </c>
      <c r="GF21" s="358" t="e">
        <f t="shared" si="129"/>
        <v>#DIV/0!</v>
      </c>
      <c r="GG21" s="358" t="e">
        <f t="shared" si="129"/>
        <v>#DIV/0!</v>
      </c>
      <c r="GH21" s="358" t="e">
        <f t="shared" si="129"/>
        <v>#DIV/0!</v>
      </c>
      <c r="GI21" s="309" t="e">
        <f t="shared" ref="GI21" si="130">SUM(FW21:GH21)</f>
        <v>#DIV/0!</v>
      </c>
      <c r="GJ21" s="262" t="e">
        <f>GI21/$GI$6</f>
        <v>#DIV/0!</v>
      </c>
      <c r="GL21" s="250">
        <f t="shared" ref="GL21:GL32" si="131">GL20+1</f>
        <v>12</v>
      </c>
      <c r="GM21" s="352" t="s">
        <v>464</v>
      </c>
      <c r="GN21" s="353">
        <f t="shared" ref="GN21:GY21" si="132">FF53</f>
        <v>0</v>
      </c>
      <c r="GO21" s="353">
        <f t="shared" si="132"/>
        <v>0</v>
      </c>
      <c r="GP21" s="353">
        <f t="shared" si="132"/>
        <v>0</v>
      </c>
      <c r="GQ21" s="353">
        <f t="shared" si="132"/>
        <v>0</v>
      </c>
      <c r="GR21" s="353">
        <f t="shared" si="132"/>
        <v>0</v>
      </c>
      <c r="GS21" s="353">
        <f t="shared" si="132"/>
        <v>0</v>
      </c>
      <c r="GT21" s="353">
        <f t="shared" si="132"/>
        <v>0</v>
      </c>
      <c r="GU21" s="353">
        <f t="shared" si="132"/>
        <v>0</v>
      </c>
      <c r="GV21" s="353">
        <f t="shared" si="132"/>
        <v>0</v>
      </c>
      <c r="GW21" s="353">
        <f t="shared" si="132"/>
        <v>0</v>
      </c>
      <c r="GX21" s="353">
        <f t="shared" si="132"/>
        <v>0</v>
      </c>
      <c r="GY21" s="353">
        <f t="shared" si="132"/>
        <v>0</v>
      </c>
      <c r="GZ21" s="328">
        <f t="shared" si="125"/>
        <v>0</v>
      </c>
      <c r="HA21" s="329" t="e">
        <f t="shared" si="55"/>
        <v>#DIV/0!</v>
      </c>
      <c r="HD21" s="65" t="s">
        <v>791</v>
      </c>
      <c r="HE21" s="66">
        <v>0</v>
      </c>
      <c r="HF21" s="67">
        <f t="shared" si="77"/>
        <v>0</v>
      </c>
      <c r="HG21" s="68">
        <f t="shared" si="78"/>
        <v>0</v>
      </c>
      <c r="HH21" s="69">
        <v>1</v>
      </c>
      <c r="HI21" s="367">
        <v>0</v>
      </c>
      <c r="HJ21" s="140"/>
      <c r="HK21" s="347">
        <v>24</v>
      </c>
      <c r="HM21" s="381" t="s">
        <v>591</v>
      </c>
      <c r="HN21" s="382">
        <f>HO21*HN13</f>
        <v>0</v>
      </c>
      <c r="HO21" s="354">
        <f>'[4]Modelo Financiero'!$P$104</f>
        <v>0.01</v>
      </c>
      <c r="HP21" s="382">
        <f t="shared" ref="HP21" si="133">HQ21*HP13</f>
        <v>0</v>
      </c>
      <c r="HQ21" s="354">
        <f>'[4]Modelo Financiero'!$P$104</f>
        <v>0.01</v>
      </c>
      <c r="HR21" s="382">
        <f t="shared" ref="HR21" si="134">HS21*HR13</f>
        <v>0</v>
      </c>
      <c r="HS21" s="354">
        <f>'[4]Modelo Financiero'!$P$104</f>
        <v>0.01</v>
      </c>
      <c r="HT21" s="382">
        <f t="shared" ref="HT21" si="135">HU21*HT13</f>
        <v>0</v>
      </c>
      <c r="HU21" s="354">
        <f>'[4]Modelo Financiero'!$P$104</f>
        <v>0.01</v>
      </c>
      <c r="HV21" s="382">
        <f t="shared" ref="HV21" si="136">HW21*HV13</f>
        <v>0</v>
      </c>
      <c r="HW21" s="354">
        <f>'[4]Modelo Financiero'!$P$104</f>
        <v>0.01</v>
      </c>
      <c r="HX21" s="382">
        <f t="shared" ref="HX21" si="137">HY21*HX13</f>
        <v>0</v>
      </c>
      <c r="HY21" s="354">
        <f>'[4]Modelo Financiero'!$P$104</f>
        <v>0.01</v>
      </c>
      <c r="HZ21" s="382">
        <f t="shared" ref="HZ21" si="138">IA21*HZ13</f>
        <v>0</v>
      </c>
      <c r="IA21" s="354">
        <f>'[4]Modelo Financiero'!$P$104</f>
        <v>0.01</v>
      </c>
      <c r="IB21" s="382">
        <f t="shared" ref="IB21" si="139">IC21*IB13</f>
        <v>0</v>
      </c>
      <c r="IC21" s="354">
        <f>'[4]Modelo Financiero'!$P$104</f>
        <v>0.01</v>
      </c>
      <c r="ID21" s="382">
        <f t="shared" ref="ID21" si="140">IE21*ID13</f>
        <v>0</v>
      </c>
      <c r="IE21" s="354">
        <f>'[4]Modelo Financiero'!$P$104</f>
        <v>0.01</v>
      </c>
      <c r="IF21" s="382">
        <f t="shared" ref="IF21" si="141">IG21*IF13</f>
        <v>0</v>
      </c>
      <c r="IG21" s="354">
        <f>'[4]Modelo Financiero'!$P$104</f>
        <v>0.01</v>
      </c>
      <c r="IH21" s="382">
        <f t="shared" ref="IH21" si="142">II21*IH13</f>
        <v>0</v>
      </c>
      <c r="II21" s="354">
        <f>'[4]Modelo Financiero'!$P$104</f>
        <v>0.01</v>
      </c>
      <c r="IJ21" s="382">
        <f t="shared" ref="IJ21" si="143">IK21*IJ13</f>
        <v>0</v>
      </c>
      <c r="IK21" s="354">
        <f>'[4]Modelo Financiero'!$P$104</f>
        <v>0.01</v>
      </c>
      <c r="IL21" s="333">
        <f>HN21+HP21+HR21+HT21+HV21+HX21+HZ21+IB21+ID21+IF21+IH21+IJ21</f>
        <v>0</v>
      </c>
      <c r="IM21" s="332" t="e">
        <f>IL21/$IL$7</f>
        <v>#DIV/0!</v>
      </c>
    </row>
    <row r="22" spans="2:247" ht="14.4" customHeight="1" x14ac:dyDescent="0.3">
      <c r="B22" s="235">
        <v>0.08</v>
      </c>
      <c r="C22" s="44" t="s">
        <v>347</v>
      </c>
      <c r="D22" s="109">
        <f>$D$19*B22</f>
        <v>0.66239999999999999</v>
      </c>
      <c r="E22" s="112"/>
      <c r="F22" s="112"/>
      <c r="I22" s="44" t="s">
        <v>346</v>
      </c>
      <c r="J22" s="48">
        <f>(J19*L14)/Q18</f>
        <v>0</v>
      </c>
      <c r="X22" s="383"/>
      <c r="Y22" s="384" t="s">
        <v>308</v>
      </c>
      <c r="Z22" s="384" t="s">
        <v>309</v>
      </c>
      <c r="AA22" s="383"/>
      <c r="AB22" s="383"/>
      <c r="AC22" s="383"/>
      <c r="AD22" s="534" t="s">
        <v>310</v>
      </c>
      <c r="AE22" s="534"/>
      <c r="AM22" s="368">
        <f t="shared" si="5"/>
        <v>0</v>
      </c>
      <c r="AN22" s="368">
        <f t="shared" si="6"/>
        <v>0</v>
      </c>
      <c r="AO22" s="368">
        <f t="shared" si="7"/>
        <v>0</v>
      </c>
      <c r="AP22" s="368">
        <f t="shared" si="8"/>
        <v>0</v>
      </c>
      <c r="AQ22" s="369" t="s">
        <v>792</v>
      </c>
      <c r="AR22" s="297">
        <f t="shared" si="9"/>
        <v>0</v>
      </c>
      <c r="AS22" s="370" t="e">
        <f t="shared" si="2"/>
        <v>#DIV/0!</v>
      </c>
      <c r="AT22" s="525"/>
      <c r="AU22" s="525"/>
      <c r="AV22" s="299">
        <v>0</v>
      </c>
      <c r="AW22" s="300">
        <v>0</v>
      </c>
      <c r="AX22" s="301"/>
      <c r="AY22" s="302" t="str">
        <f>AY6</f>
        <v>Abril</v>
      </c>
      <c r="AZ22" s="385">
        <f>Tabla24[[#Totals],[Columna5]]</f>
        <v>0</v>
      </c>
      <c r="BA22" s="385" t="e">
        <f>Tabla2410[[#Totals],[Columna5]]</f>
        <v>#DIV/0!</v>
      </c>
      <c r="BB22" s="385" t="e">
        <f>Tabla24105[[#Totals],[Columna5]]</f>
        <v>#DIV/0!</v>
      </c>
      <c r="BC22" s="385" t="e">
        <f>Tabla241057[[#Totals],[Columna5]]</f>
        <v>#DIV/0!</v>
      </c>
      <c r="BD22" s="385" t="e">
        <f>Tabla24105711[[#Totals],[Columna5]]</f>
        <v>#DIV/0!</v>
      </c>
      <c r="BE22" s="386" t="e">
        <f>SUM(AZ22:BD22)</f>
        <v>#DIV/0!</v>
      </c>
      <c r="BF22" s="305" t="e">
        <f>BE22/$BE$34</f>
        <v>#DIV/0!</v>
      </c>
      <c r="BH22" s="525"/>
      <c r="BI22" s="525"/>
      <c r="BJ22" s="370" t="e">
        <f>$AS$20</f>
        <v>#DIV/0!</v>
      </c>
      <c r="BK22" s="242" t="str">
        <f t="shared" si="19"/>
        <v>C15</v>
      </c>
      <c r="BL22" s="303">
        <f t="shared" si="20"/>
        <v>0</v>
      </c>
      <c r="BM22" s="303">
        <f t="shared" si="20"/>
        <v>0</v>
      </c>
      <c r="BN22" s="303">
        <f t="shared" si="20"/>
        <v>0</v>
      </c>
      <c r="BO22" s="303">
        <f t="shared" si="21"/>
        <v>0</v>
      </c>
      <c r="BP22" s="303">
        <f t="shared" si="22"/>
        <v>0</v>
      </c>
      <c r="BQ22" s="303">
        <f t="shared" si="23"/>
        <v>0</v>
      </c>
      <c r="BR22" s="303">
        <f t="shared" si="24"/>
        <v>0</v>
      </c>
      <c r="BS22" s="303">
        <f t="shared" si="25"/>
        <v>0</v>
      </c>
      <c r="BT22" s="303">
        <f t="shared" si="26"/>
        <v>0</v>
      </c>
      <c r="BU22" s="303">
        <f t="shared" si="27"/>
        <v>0</v>
      </c>
      <c r="BV22" s="303">
        <f t="shared" si="28"/>
        <v>0</v>
      </c>
      <c r="BW22" s="303">
        <f t="shared" si="29"/>
        <v>0</v>
      </c>
      <c r="BX22" s="303">
        <f t="shared" si="30"/>
        <v>0</v>
      </c>
      <c r="BY22" s="303">
        <f t="shared" si="31"/>
        <v>0</v>
      </c>
      <c r="BZ22" s="303">
        <f t="shared" si="32"/>
        <v>0</v>
      </c>
      <c r="CB22" s="525"/>
      <c r="CC22" s="525"/>
      <c r="CD22" s="370" t="e">
        <f>$AS$20</f>
        <v>#DIV/0!</v>
      </c>
      <c r="CE22" s="242" t="str">
        <f>Tabla2[[#This Row],[Columna1]]</f>
        <v>C15</v>
      </c>
      <c r="CF22" s="303">
        <f>Tabla29[[#This Row],[Columna3]]/7</f>
        <v>0</v>
      </c>
      <c r="CG22" s="303">
        <f>Tabla29[[#This Row],[Columna4]]/4.2</f>
        <v>0</v>
      </c>
      <c r="CH22" s="303">
        <f>Tabla2[[#This Row],[Columna16]]</f>
        <v>0</v>
      </c>
      <c r="CI22" s="303" t="e">
        <f>(Tabla29[[#This Row],[Columna4]]*CI$5/$BZ$5)*$CH$4</f>
        <v>#DIV/0!</v>
      </c>
      <c r="CJ22" s="303" t="e">
        <f>(Tabla29[[#This Row],[Columna4]]*CJ$5/$BZ$5)*$CH$4</f>
        <v>#DIV/0!</v>
      </c>
      <c r="CK22" s="303" t="e">
        <f>(Tabla29[[#This Row],[Columna4]]*CK$5/$BZ$5)*$CH$4</f>
        <v>#DIV/0!</v>
      </c>
      <c r="CL22" s="303" t="e">
        <f>(Tabla29[[#This Row],[Columna4]]*CL$5/$BZ$5)*$CH$4</f>
        <v>#DIV/0!</v>
      </c>
      <c r="CM22" s="303" t="e">
        <f>(Tabla29[[#This Row],[Columna4]]*CM$5/$BZ$5)*$CH$4</f>
        <v>#DIV/0!</v>
      </c>
      <c r="CN22" s="303" t="e">
        <f>(Tabla29[[#This Row],[Columna4]]*CN$5/$BZ$5)*$CH$4</f>
        <v>#DIV/0!</v>
      </c>
      <c r="CO22" s="303" t="e">
        <f>(Tabla29[[#This Row],[Columna4]]*CO$5/$BZ$5)*$CH$4</f>
        <v>#DIV/0!</v>
      </c>
      <c r="CP22" s="303" t="e">
        <f>(Tabla29[[#This Row],[Columna4]]*CP$5/$BZ$5)*$CH$4</f>
        <v>#DIV/0!</v>
      </c>
      <c r="CQ22" s="303" t="e">
        <f>(Tabla29[[#This Row],[Columna4]]*CQ$5/$BZ$5)*$CH$4</f>
        <v>#DIV/0!</v>
      </c>
      <c r="CR22" s="303" t="e">
        <f>(Tabla29[[#This Row],[Columna4]]*CR$5/$BZ$5)*$CH$4</f>
        <v>#DIV/0!</v>
      </c>
      <c r="CS22" s="303" t="e">
        <f>(Tabla29[[#This Row],[Columna4]]*CS$5/$BZ$5)*$CH$4</f>
        <v>#DIV/0!</v>
      </c>
      <c r="CT22" s="303" t="e">
        <f>(Tabla29[[#This Row],[Columna4]]*CT$5/$BZ$5)*$CH$4</f>
        <v>#DIV/0!</v>
      </c>
      <c r="CV22" s="525"/>
      <c r="CW22" s="525"/>
      <c r="CX22" s="370" t="e">
        <f>$AS$20</f>
        <v>#DIV/0!</v>
      </c>
      <c r="CY22" s="242" t="str">
        <f>Tabla2[[#This Row],[Columna1]]</f>
        <v>C15</v>
      </c>
      <c r="CZ22" s="303" t="e">
        <f>Tabla292[[#This Row],[Columna3]]/7</f>
        <v>#DIV/0!</v>
      </c>
      <c r="DA22" s="303" t="e">
        <f>Tabla292[[#This Row],[Columna4]]/4.2</f>
        <v>#DIV/0!</v>
      </c>
      <c r="DB22" s="303" t="e">
        <f>Tabla29[[#This Row],[Columna16]]</f>
        <v>#DIV/0!</v>
      </c>
      <c r="DC22" s="303" t="e">
        <f>(Tabla292[[#This Row],[Columna4]]*DC$5/$CT$5)*$DB$4</f>
        <v>#DIV/0!</v>
      </c>
      <c r="DD22" s="303" t="e">
        <f>(Tabla292[[#This Row],[Columna4]]*DD$5/$CT$5)*$DB$4</f>
        <v>#DIV/0!</v>
      </c>
      <c r="DE22" s="303" t="e">
        <f>(Tabla292[[#This Row],[Columna4]]*DE$5/$CT$5)*$DB$4</f>
        <v>#DIV/0!</v>
      </c>
      <c r="DF22" s="303" t="e">
        <f>(Tabla292[[#This Row],[Columna4]]*DF$5/$CT$5)*$DB$4</f>
        <v>#DIV/0!</v>
      </c>
      <c r="DG22" s="303" t="e">
        <f>(Tabla292[[#This Row],[Columna4]]*DG$5/$CT$5)*$DB$4</f>
        <v>#DIV/0!</v>
      </c>
      <c r="DH22" s="303" t="e">
        <f>(Tabla292[[#This Row],[Columna4]]*DH$5/$CT$5)*$DB$4</f>
        <v>#DIV/0!</v>
      </c>
      <c r="DI22" s="303" t="e">
        <f>(Tabla292[[#This Row],[Columna4]]*DI$5/$CT$5)*$DB$4</f>
        <v>#DIV/0!</v>
      </c>
      <c r="DJ22" s="303" t="e">
        <f>(Tabla292[[#This Row],[Columna4]]*DJ$5/$CT$5)*$DB$4</f>
        <v>#DIV/0!</v>
      </c>
      <c r="DK22" s="303" t="e">
        <f>(Tabla292[[#This Row],[Columna4]]*DK$5/$CT$5)*$DB$4</f>
        <v>#DIV/0!</v>
      </c>
      <c r="DL22" s="303" t="e">
        <f>(Tabla292[[#This Row],[Columna4]]*DL$5/$CT$5)*$DB$4</f>
        <v>#DIV/0!</v>
      </c>
      <c r="DM22" s="303" t="e">
        <f>(Tabla292[[#This Row],[Columna4]]*DM$5/$CT$5)*$DB$4</f>
        <v>#DIV/0!</v>
      </c>
      <c r="DN22" s="303" t="e">
        <f>(Tabla292[[#This Row],[Columna4]]*DN$5/$CT$5)*$DB$4</f>
        <v>#DIV/0!</v>
      </c>
      <c r="DP22" s="525"/>
      <c r="DQ22" s="525"/>
      <c r="DR22" s="370" t="e">
        <f>$AS$20</f>
        <v>#DIV/0!</v>
      </c>
      <c r="DS22" s="242" t="str">
        <f>Tabla2[[#This Row],[Columna1]]</f>
        <v>C15</v>
      </c>
      <c r="DT22" s="303" t="e">
        <f>Tabla2926[[#This Row],[Columna3]]/7</f>
        <v>#DIV/0!</v>
      </c>
      <c r="DU22" s="303" t="e">
        <f>Tabla2926[[#This Row],[Columna4]]/4.2</f>
        <v>#DIV/0!</v>
      </c>
      <c r="DV22" s="303" t="e">
        <f>Tabla292[[#This Row],[Columna16]]</f>
        <v>#DIV/0!</v>
      </c>
      <c r="DW22" s="303" t="e">
        <f>(Tabla2926[[#This Row],[Columna4]]*DW$5/$DN$5)*$DV$4</f>
        <v>#DIV/0!</v>
      </c>
      <c r="DX22" s="303" t="e">
        <f>(Tabla2926[[#This Row],[Columna4]]*DX$5/$DN$5)*$DV$4</f>
        <v>#DIV/0!</v>
      </c>
      <c r="DY22" s="303" t="e">
        <f>(Tabla2926[[#This Row],[Columna4]]*DY$5/$DN$5)*$DV$4</f>
        <v>#DIV/0!</v>
      </c>
      <c r="DZ22" s="303" t="e">
        <f>(Tabla2926[[#This Row],[Columna4]]*DZ$5/$DN$5)*$DV$4</f>
        <v>#DIV/0!</v>
      </c>
      <c r="EA22" s="303" t="e">
        <f>(Tabla2926[[#This Row],[Columna4]]*EA$5/$DN$5)*$DV$4</f>
        <v>#DIV/0!</v>
      </c>
      <c r="EB22" s="303" t="e">
        <f>(Tabla2926[[#This Row],[Columna4]]*EB$5/$DN$5)*$DV$4</f>
        <v>#DIV/0!</v>
      </c>
      <c r="EC22" s="303" t="e">
        <f>(Tabla2926[[#This Row],[Columna4]]*EC$5/$DN$5)*$DV$4</f>
        <v>#DIV/0!</v>
      </c>
      <c r="ED22" s="303" t="e">
        <f>(Tabla2926[[#This Row],[Columna4]]*ED$5/$DN$5)*$DV$4</f>
        <v>#DIV/0!</v>
      </c>
      <c r="EE22" s="303" t="e">
        <f>(Tabla2926[[#This Row],[Columna4]]*EE$5/$DN$5)*$DV$4</f>
        <v>#DIV/0!</v>
      </c>
      <c r="EF22" s="303" t="e">
        <f>(Tabla2926[[#This Row],[Columna4]]*EF$5/$DN$5)*$DV$4</f>
        <v>#DIV/0!</v>
      </c>
      <c r="EG22" s="303" t="e">
        <f>(Tabla2926[[#This Row],[Columna4]]*EG$5/$DN$5)*$DV$4</f>
        <v>#DIV/0!</v>
      </c>
      <c r="EH22" s="303" t="e">
        <f>(Tabla2926[[#This Row],[Columna4]]*EH$5/$DN$5)*$DV$4</f>
        <v>#DIV/0!</v>
      </c>
      <c r="EJ22" s="525"/>
      <c r="EK22" s="525"/>
      <c r="EL22" s="370" t="e">
        <f>$AS$20</f>
        <v>#DIV/0!</v>
      </c>
      <c r="EM22" s="242" t="str">
        <f>Tabla2[[#This Row],[Columna1]]</f>
        <v>C15</v>
      </c>
      <c r="EN22" s="303" t="e">
        <f>Tabla29268[[#This Row],[Columna3]]/7</f>
        <v>#DIV/0!</v>
      </c>
      <c r="EO22" s="303" t="e">
        <f>Tabla29268[[#This Row],[Columna4]]/4.2</f>
        <v>#DIV/0!</v>
      </c>
      <c r="EP22" s="303" t="e">
        <f>Tabla2926[[#This Row],[Columna16]]</f>
        <v>#DIV/0!</v>
      </c>
      <c r="EQ22" s="303" t="e">
        <f>(Tabla29268[[#This Row],[Columna4]]*EQ$5/$EH$5)*$EP$4</f>
        <v>#DIV/0!</v>
      </c>
      <c r="ER22" s="303" t="e">
        <f>(Tabla29268[[#This Row],[Columna4]]*ER$5/$EH$5)*$EP$4</f>
        <v>#DIV/0!</v>
      </c>
      <c r="ES22" s="303" t="e">
        <f>(Tabla29268[[#This Row],[Columna4]]*ES$5/$EH$5)*$EP$4</f>
        <v>#DIV/0!</v>
      </c>
      <c r="ET22" s="303" t="e">
        <f>(Tabla29268[[#This Row],[Columna4]]*ET$5/$EH$5)*$EP$4</f>
        <v>#DIV/0!</v>
      </c>
      <c r="EU22" s="303" t="e">
        <f>(Tabla29268[[#This Row],[Columna4]]*EU$5/$EH$5)*$EP$4</f>
        <v>#DIV/0!</v>
      </c>
      <c r="EV22" s="303" t="e">
        <f>(Tabla29268[[#This Row],[Columna4]]*EV$5/$EH$5)*$EP$4</f>
        <v>#DIV/0!</v>
      </c>
      <c r="EW22" s="303" t="e">
        <f>(Tabla29268[[#This Row],[Columna4]]*EW$5/$EH$5)*$EP$4</f>
        <v>#DIV/0!</v>
      </c>
      <c r="EX22" s="303" t="e">
        <f>(Tabla29268[[#This Row],[Columna4]]*EX$5/$EH$5)*$EP$4</f>
        <v>#DIV/0!</v>
      </c>
      <c r="EY22" s="303" t="e">
        <f>(Tabla29268[[#This Row],[Columna4]]*EY$5/$EH$5)*$EP$4</f>
        <v>#DIV/0!</v>
      </c>
      <c r="EZ22" s="303" t="e">
        <f>(Tabla29268[[#This Row],[Columna4]]*EZ$5/$EH$5)*$EP$4</f>
        <v>#DIV/0!</v>
      </c>
      <c r="FA22" s="303" t="e">
        <f>(Tabla29268[[#This Row],[Columna4]]*FA$5/$EH$5)*$EP$4</f>
        <v>#DIV/0!</v>
      </c>
      <c r="FB22" s="303" t="e">
        <f>(Tabla29268[[#This Row],[Columna4]]*FB$5/$EH$5)*$EP$4</f>
        <v>#DIV/0!</v>
      </c>
      <c r="FE22" s="361"/>
      <c r="FF22" s="362"/>
      <c r="FG22" s="362"/>
      <c r="FH22" s="362"/>
      <c r="FI22" s="362"/>
      <c r="FJ22" s="362"/>
      <c r="FK22" s="362"/>
      <c r="FL22" s="362"/>
      <c r="FM22" s="362"/>
      <c r="FN22" s="362"/>
      <c r="FO22" s="362"/>
      <c r="FP22" s="362"/>
      <c r="FQ22" s="362"/>
      <c r="FR22" s="363"/>
      <c r="FS22" s="362"/>
      <c r="FV22" s="361"/>
      <c r="FW22" s="362"/>
      <c r="FX22" s="362"/>
      <c r="FY22" s="362"/>
      <c r="FZ22" s="362"/>
      <c r="GA22" s="362"/>
      <c r="GB22" s="362"/>
      <c r="GC22" s="362"/>
      <c r="GD22" s="362"/>
      <c r="GE22" s="362"/>
      <c r="GF22" s="362"/>
      <c r="GG22" s="362"/>
      <c r="GH22" s="362"/>
      <c r="GI22" s="362"/>
      <c r="GJ22" s="387"/>
      <c r="GL22" s="250">
        <f t="shared" si="131"/>
        <v>13</v>
      </c>
      <c r="GM22" s="352" t="s">
        <v>465</v>
      </c>
      <c r="GN22" s="353">
        <f t="shared" ref="GN22:GY22" si="144">FF56</f>
        <v>0</v>
      </c>
      <c r="GO22" s="353">
        <f t="shared" si="144"/>
        <v>0</v>
      </c>
      <c r="GP22" s="353">
        <f t="shared" si="144"/>
        <v>0</v>
      </c>
      <c r="GQ22" s="353">
        <f t="shared" si="144"/>
        <v>0</v>
      </c>
      <c r="GR22" s="353">
        <f t="shared" si="144"/>
        <v>0</v>
      </c>
      <c r="GS22" s="353">
        <f t="shared" si="144"/>
        <v>0</v>
      </c>
      <c r="GT22" s="353">
        <f t="shared" si="144"/>
        <v>0</v>
      </c>
      <c r="GU22" s="353">
        <f t="shared" si="144"/>
        <v>0</v>
      </c>
      <c r="GV22" s="353">
        <f t="shared" si="144"/>
        <v>0</v>
      </c>
      <c r="GW22" s="353">
        <f t="shared" si="144"/>
        <v>0</v>
      </c>
      <c r="GX22" s="353">
        <f t="shared" si="144"/>
        <v>0</v>
      </c>
      <c r="GY22" s="353">
        <f t="shared" si="144"/>
        <v>0</v>
      </c>
      <c r="GZ22" s="328">
        <f t="shared" si="125"/>
        <v>0</v>
      </c>
      <c r="HA22" s="329" t="e">
        <f t="shared" si="55"/>
        <v>#DIV/0!</v>
      </c>
      <c r="HB22" s="244" t="b">
        <f>GZ22=FR56</f>
        <v>1</v>
      </c>
      <c r="HD22" s="65" t="s">
        <v>793</v>
      </c>
      <c r="HE22" s="66">
        <v>0</v>
      </c>
      <c r="HF22" s="67">
        <f t="shared" si="77"/>
        <v>0</v>
      </c>
      <c r="HG22" s="68">
        <f t="shared" si="78"/>
        <v>0</v>
      </c>
      <c r="HH22" s="69">
        <v>1</v>
      </c>
      <c r="HI22" s="367">
        <v>0</v>
      </c>
      <c r="HJ22" s="140"/>
      <c r="HK22" s="90" t="s">
        <v>647</v>
      </c>
      <c r="HM22" s="283"/>
      <c r="HN22" s="316"/>
      <c r="HO22" s="285"/>
      <c r="HP22" s="316"/>
      <c r="HQ22" s="285"/>
      <c r="HR22" s="316"/>
      <c r="HS22" s="285"/>
      <c r="HT22" s="316"/>
      <c r="HU22" s="285"/>
      <c r="HV22" s="316"/>
      <c r="HW22" s="285"/>
      <c r="HX22" s="316"/>
      <c r="HY22" s="285"/>
      <c r="HZ22" s="316"/>
      <c r="IA22" s="285"/>
      <c r="IB22" s="316"/>
      <c r="IC22" s="285"/>
      <c r="ID22" s="316"/>
      <c r="IE22" s="285"/>
      <c r="IF22" s="316"/>
      <c r="IG22" s="285"/>
      <c r="IH22" s="316"/>
      <c r="II22" s="285"/>
      <c r="IJ22" s="316"/>
      <c r="IK22" s="285"/>
      <c r="IL22" s="388"/>
      <c r="IM22" s="285"/>
    </row>
    <row r="23" spans="2:247" ht="14.4" customHeight="1" x14ac:dyDescent="0.3">
      <c r="B23" s="235">
        <v>0.12</v>
      </c>
      <c r="C23" s="44" t="s">
        <v>350</v>
      </c>
      <c r="D23" s="109">
        <f>$D$19*B23</f>
        <v>0.99359999999999993</v>
      </c>
      <c r="I23" s="44" t="s">
        <v>507</v>
      </c>
      <c r="J23" s="48">
        <f>D37*L17</f>
        <v>0</v>
      </c>
      <c r="K23" s="13"/>
      <c r="X23" s="383"/>
      <c r="Y23" s="384" t="s">
        <v>794</v>
      </c>
      <c r="Z23" s="384"/>
      <c r="AA23" s="383"/>
      <c r="AB23" s="383"/>
      <c r="AC23" s="383"/>
      <c r="AD23" s="534" t="s">
        <v>311</v>
      </c>
      <c r="AE23" s="534"/>
      <c r="AM23" s="368">
        <f t="shared" si="5"/>
        <v>0</v>
      </c>
      <c r="AN23" s="368">
        <f t="shared" si="6"/>
        <v>0</v>
      </c>
      <c r="AO23" s="368">
        <f t="shared" si="7"/>
        <v>0</v>
      </c>
      <c r="AP23" s="368">
        <f t="shared" si="8"/>
        <v>0</v>
      </c>
      <c r="AQ23" s="369" t="s">
        <v>795</v>
      </c>
      <c r="AR23" s="297">
        <f t="shared" si="9"/>
        <v>0</v>
      </c>
      <c r="AS23" s="370" t="e">
        <f t="shared" si="2"/>
        <v>#DIV/0!</v>
      </c>
      <c r="AT23" s="525"/>
      <c r="AU23" s="525"/>
      <c r="AV23" s="299">
        <v>0</v>
      </c>
      <c r="AW23" s="300">
        <v>0</v>
      </c>
      <c r="AX23" s="301"/>
      <c r="AY23" s="302" t="str">
        <f t="shared" ref="AY23:AY33" si="145">AY7</f>
        <v>Mayo</v>
      </c>
      <c r="AZ23" s="385">
        <f>Tabla24[[#Totals],[Columna6]]</f>
        <v>0</v>
      </c>
      <c r="BA23" s="385" t="e">
        <f>Tabla2410[[#Totals],[Columna6]]</f>
        <v>#DIV/0!</v>
      </c>
      <c r="BB23" s="385" t="e">
        <f>Tabla24105[[#Totals],[Columna6]]</f>
        <v>#DIV/0!</v>
      </c>
      <c r="BC23" s="385" t="e">
        <f>Tabla241057[[#Totals],[Columna6]]</f>
        <v>#DIV/0!</v>
      </c>
      <c r="BD23" s="385" t="e">
        <f>Tabla24105711[[#Totals],[Columna6]]</f>
        <v>#DIV/0!</v>
      </c>
      <c r="BE23" s="386" t="e">
        <f t="shared" ref="BE23:BE33" si="146">SUM(AZ23:BD23)</f>
        <v>#DIV/0!</v>
      </c>
      <c r="BF23" s="305" t="e">
        <f t="shared" ref="BF23:BF34" si="147">BE23/$BE$34</f>
        <v>#DIV/0!</v>
      </c>
      <c r="BH23" s="525"/>
      <c r="BI23" s="525"/>
      <c r="BJ23" s="370" t="e">
        <f>$AS$21</f>
        <v>#DIV/0!</v>
      </c>
      <c r="BK23" s="242" t="str">
        <f t="shared" si="19"/>
        <v>C16</v>
      </c>
      <c r="BL23" s="303">
        <f t="shared" si="20"/>
        <v>0</v>
      </c>
      <c r="BM23" s="303">
        <f t="shared" si="20"/>
        <v>0</v>
      </c>
      <c r="BN23" s="303">
        <f t="shared" si="20"/>
        <v>0</v>
      </c>
      <c r="BO23" s="303">
        <f t="shared" si="21"/>
        <v>0</v>
      </c>
      <c r="BP23" s="303">
        <f t="shared" si="22"/>
        <v>0</v>
      </c>
      <c r="BQ23" s="303">
        <f t="shared" si="23"/>
        <v>0</v>
      </c>
      <c r="BR23" s="303">
        <f t="shared" si="24"/>
        <v>0</v>
      </c>
      <c r="BS23" s="303">
        <f t="shared" si="25"/>
        <v>0</v>
      </c>
      <c r="BT23" s="303">
        <f t="shared" si="26"/>
        <v>0</v>
      </c>
      <c r="BU23" s="303">
        <f t="shared" si="27"/>
        <v>0</v>
      </c>
      <c r="BV23" s="303">
        <f t="shared" si="28"/>
        <v>0</v>
      </c>
      <c r="BW23" s="303">
        <f t="shared" si="29"/>
        <v>0</v>
      </c>
      <c r="BX23" s="303">
        <f t="shared" si="30"/>
        <v>0</v>
      </c>
      <c r="BY23" s="303">
        <f t="shared" si="31"/>
        <v>0</v>
      </c>
      <c r="BZ23" s="303">
        <f t="shared" si="32"/>
        <v>0</v>
      </c>
      <c r="CB23" s="525"/>
      <c r="CC23" s="525"/>
      <c r="CD23" s="370" t="e">
        <f>$AS$21</f>
        <v>#DIV/0!</v>
      </c>
      <c r="CE23" s="242" t="str">
        <f>Tabla2[[#This Row],[Columna1]]</f>
        <v>C16</v>
      </c>
      <c r="CF23" s="303">
        <f>Tabla29[[#This Row],[Columna3]]/7</f>
        <v>0</v>
      </c>
      <c r="CG23" s="303">
        <f>Tabla29[[#This Row],[Columna4]]/4.2</f>
        <v>0</v>
      </c>
      <c r="CH23" s="303">
        <f>Tabla2[[#This Row],[Columna16]]</f>
        <v>0</v>
      </c>
      <c r="CI23" s="303" t="e">
        <f>(Tabla29[[#This Row],[Columna4]]*CI$5/$BZ$5)*$CH$4</f>
        <v>#DIV/0!</v>
      </c>
      <c r="CJ23" s="303" t="e">
        <f>(Tabla29[[#This Row],[Columna4]]*CJ$5/$BZ$5)*$CH$4</f>
        <v>#DIV/0!</v>
      </c>
      <c r="CK23" s="303" t="e">
        <f>(Tabla29[[#This Row],[Columna4]]*CK$5/$BZ$5)*$CH$4</f>
        <v>#DIV/0!</v>
      </c>
      <c r="CL23" s="303" t="e">
        <f>(Tabla29[[#This Row],[Columna4]]*CL$5/$BZ$5)*$CH$4</f>
        <v>#DIV/0!</v>
      </c>
      <c r="CM23" s="303" t="e">
        <f>(Tabla29[[#This Row],[Columna4]]*CM$5/$BZ$5)*$CH$4</f>
        <v>#DIV/0!</v>
      </c>
      <c r="CN23" s="303" t="e">
        <f>(Tabla29[[#This Row],[Columna4]]*CN$5/$BZ$5)*$CH$4</f>
        <v>#DIV/0!</v>
      </c>
      <c r="CO23" s="303" t="e">
        <f>(Tabla29[[#This Row],[Columna4]]*CO$5/$BZ$5)*$CH$4</f>
        <v>#DIV/0!</v>
      </c>
      <c r="CP23" s="303" t="e">
        <f>(Tabla29[[#This Row],[Columna4]]*CP$5/$BZ$5)*$CH$4</f>
        <v>#DIV/0!</v>
      </c>
      <c r="CQ23" s="303" t="e">
        <f>(Tabla29[[#This Row],[Columna4]]*CQ$5/$BZ$5)*$CH$4</f>
        <v>#DIV/0!</v>
      </c>
      <c r="CR23" s="303" t="e">
        <f>(Tabla29[[#This Row],[Columna4]]*CR$5/$BZ$5)*$CH$4</f>
        <v>#DIV/0!</v>
      </c>
      <c r="CS23" s="303" t="e">
        <f>(Tabla29[[#This Row],[Columna4]]*CS$5/$BZ$5)*$CH$4</f>
        <v>#DIV/0!</v>
      </c>
      <c r="CT23" s="303" t="e">
        <f>(Tabla29[[#This Row],[Columna4]]*CT$5/$BZ$5)*$CH$4</f>
        <v>#DIV/0!</v>
      </c>
      <c r="CV23" s="525"/>
      <c r="CW23" s="525"/>
      <c r="CX23" s="370" t="e">
        <f>$AS$21</f>
        <v>#DIV/0!</v>
      </c>
      <c r="CY23" s="242" t="str">
        <f>Tabla2[[#This Row],[Columna1]]</f>
        <v>C16</v>
      </c>
      <c r="CZ23" s="303" t="e">
        <f>Tabla292[[#This Row],[Columna3]]/7</f>
        <v>#DIV/0!</v>
      </c>
      <c r="DA23" s="303" t="e">
        <f>Tabla292[[#This Row],[Columna4]]/4.2</f>
        <v>#DIV/0!</v>
      </c>
      <c r="DB23" s="303" t="e">
        <f>Tabla29[[#This Row],[Columna16]]</f>
        <v>#DIV/0!</v>
      </c>
      <c r="DC23" s="303" t="e">
        <f>(Tabla292[[#This Row],[Columna4]]*DC$5/$CT$5)*$DB$4</f>
        <v>#DIV/0!</v>
      </c>
      <c r="DD23" s="303" t="e">
        <f>(Tabla292[[#This Row],[Columna4]]*DD$5/$CT$5)*$DB$4</f>
        <v>#DIV/0!</v>
      </c>
      <c r="DE23" s="303" t="e">
        <f>(Tabla292[[#This Row],[Columna4]]*DE$5/$CT$5)*$DB$4</f>
        <v>#DIV/0!</v>
      </c>
      <c r="DF23" s="303" t="e">
        <f>(Tabla292[[#This Row],[Columna4]]*DF$5/$CT$5)*$DB$4</f>
        <v>#DIV/0!</v>
      </c>
      <c r="DG23" s="303" t="e">
        <f>(Tabla292[[#This Row],[Columna4]]*DG$5/$CT$5)*$DB$4</f>
        <v>#DIV/0!</v>
      </c>
      <c r="DH23" s="303" t="e">
        <f>(Tabla292[[#This Row],[Columna4]]*DH$5/$CT$5)*$DB$4</f>
        <v>#DIV/0!</v>
      </c>
      <c r="DI23" s="303" t="e">
        <f>(Tabla292[[#This Row],[Columna4]]*DI$5/$CT$5)*$DB$4</f>
        <v>#DIV/0!</v>
      </c>
      <c r="DJ23" s="303" t="e">
        <f>(Tabla292[[#This Row],[Columna4]]*DJ$5/$CT$5)*$DB$4</f>
        <v>#DIV/0!</v>
      </c>
      <c r="DK23" s="303" t="e">
        <f>(Tabla292[[#This Row],[Columna4]]*DK$5/$CT$5)*$DB$4</f>
        <v>#DIV/0!</v>
      </c>
      <c r="DL23" s="303" t="e">
        <f>(Tabla292[[#This Row],[Columna4]]*DL$5/$CT$5)*$DB$4</f>
        <v>#DIV/0!</v>
      </c>
      <c r="DM23" s="303" t="e">
        <f>(Tabla292[[#This Row],[Columna4]]*DM$5/$CT$5)*$DB$4</f>
        <v>#DIV/0!</v>
      </c>
      <c r="DN23" s="303" t="e">
        <f>(Tabla292[[#This Row],[Columna4]]*DN$5/$CT$5)*$DB$4</f>
        <v>#DIV/0!</v>
      </c>
      <c r="DP23" s="525"/>
      <c r="DQ23" s="525"/>
      <c r="DR23" s="370" t="e">
        <f>$AS$21</f>
        <v>#DIV/0!</v>
      </c>
      <c r="DS23" s="242" t="str">
        <f>Tabla2[[#This Row],[Columna1]]</f>
        <v>C16</v>
      </c>
      <c r="DT23" s="303" t="e">
        <f>Tabla2926[[#This Row],[Columna3]]/7</f>
        <v>#DIV/0!</v>
      </c>
      <c r="DU23" s="303" t="e">
        <f>Tabla2926[[#This Row],[Columna4]]/4.2</f>
        <v>#DIV/0!</v>
      </c>
      <c r="DV23" s="303" t="e">
        <f>Tabla292[[#This Row],[Columna16]]</f>
        <v>#DIV/0!</v>
      </c>
      <c r="DW23" s="303" t="e">
        <f>(Tabla2926[[#This Row],[Columna4]]*DW$5/$DN$5)*$DV$4</f>
        <v>#DIV/0!</v>
      </c>
      <c r="DX23" s="303" t="e">
        <f>(Tabla2926[[#This Row],[Columna4]]*DX$5/$DN$5)*$DV$4</f>
        <v>#DIV/0!</v>
      </c>
      <c r="DY23" s="303" t="e">
        <f>(Tabla2926[[#This Row],[Columna4]]*DY$5/$DN$5)*$DV$4</f>
        <v>#DIV/0!</v>
      </c>
      <c r="DZ23" s="303" t="e">
        <f>(Tabla2926[[#This Row],[Columna4]]*DZ$5/$DN$5)*$DV$4</f>
        <v>#DIV/0!</v>
      </c>
      <c r="EA23" s="303" t="e">
        <f>(Tabla2926[[#This Row],[Columna4]]*EA$5/$DN$5)*$DV$4</f>
        <v>#DIV/0!</v>
      </c>
      <c r="EB23" s="303" t="e">
        <f>(Tabla2926[[#This Row],[Columna4]]*EB$5/$DN$5)*$DV$4</f>
        <v>#DIV/0!</v>
      </c>
      <c r="EC23" s="303" t="e">
        <f>(Tabla2926[[#This Row],[Columna4]]*EC$5/$DN$5)*$DV$4</f>
        <v>#DIV/0!</v>
      </c>
      <c r="ED23" s="303" t="e">
        <f>(Tabla2926[[#This Row],[Columna4]]*ED$5/$DN$5)*$DV$4</f>
        <v>#DIV/0!</v>
      </c>
      <c r="EE23" s="303" t="e">
        <f>(Tabla2926[[#This Row],[Columna4]]*EE$5/$DN$5)*$DV$4</f>
        <v>#DIV/0!</v>
      </c>
      <c r="EF23" s="303" t="e">
        <f>(Tabla2926[[#This Row],[Columna4]]*EF$5/$DN$5)*$DV$4</f>
        <v>#DIV/0!</v>
      </c>
      <c r="EG23" s="303" t="e">
        <f>(Tabla2926[[#This Row],[Columna4]]*EG$5/$DN$5)*$DV$4</f>
        <v>#DIV/0!</v>
      </c>
      <c r="EH23" s="303" t="e">
        <f>(Tabla2926[[#This Row],[Columna4]]*EH$5/$DN$5)*$DV$4</f>
        <v>#DIV/0!</v>
      </c>
      <c r="EJ23" s="525"/>
      <c r="EK23" s="525"/>
      <c r="EL23" s="370" t="e">
        <f>$AS$21</f>
        <v>#DIV/0!</v>
      </c>
      <c r="EM23" s="242" t="str">
        <f>Tabla2[[#This Row],[Columna1]]</f>
        <v>C16</v>
      </c>
      <c r="EN23" s="303" t="e">
        <f>Tabla29268[[#This Row],[Columna3]]/7</f>
        <v>#DIV/0!</v>
      </c>
      <c r="EO23" s="303" t="e">
        <f>Tabla29268[[#This Row],[Columna4]]/4.2</f>
        <v>#DIV/0!</v>
      </c>
      <c r="EP23" s="303" t="e">
        <f>Tabla2926[[#This Row],[Columna16]]</f>
        <v>#DIV/0!</v>
      </c>
      <c r="EQ23" s="303" t="e">
        <f>(Tabla29268[[#This Row],[Columna4]]*EQ$5/$EH$5)*$EP$4</f>
        <v>#DIV/0!</v>
      </c>
      <c r="ER23" s="303" t="e">
        <f>(Tabla29268[[#This Row],[Columna4]]*ER$5/$EH$5)*$EP$4</f>
        <v>#DIV/0!</v>
      </c>
      <c r="ES23" s="303" t="e">
        <f>(Tabla29268[[#This Row],[Columna4]]*ES$5/$EH$5)*$EP$4</f>
        <v>#DIV/0!</v>
      </c>
      <c r="ET23" s="303" t="e">
        <f>(Tabla29268[[#This Row],[Columna4]]*ET$5/$EH$5)*$EP$4</f>
        <v>#DIV/0!</v>
      </c>
      <c r="EU23" s="303" t="e">
        <f>(Tabla29268[[#This Row],[Columna4]]*EU$5/$EH$5)*$EP$4</f>
        <v>#DIV/0!</v>
      </c>
      <c r="EV23" s="303" t="e">
        <f>(Tabla29268[[#This Row],[Columna4]]*EV$5/$EH$5)*$EP$4</f>
        <v>#DIV/0!</v>
      </c>
      <c r="EW23" s="303" t="e">
        <f>(Tabla29268[[#This Row],[Columna4]]*EW$5/$EH$5)*$EP$4</f>
        <v>#DIV/0!</v>
      </c>
      <c r="EX23" s="303" t="e">
        <f>(Tabla29268[[#This Row],[Columna4]]*EX$5/$EH$5)*$EP$4</f>
        <v>#DIV/0!</v>
      </c>
      <c r="EY23" s="303" t="e">
        <f>(Tabla29268[[#This Row],[Columna4]]*EY$5/$EH$5)*$EP$4</f>
        <v>#DIV/0!</v>
      </c>
      <c r="EZ23" s="303" t="e">
        <f>(Tabla29268[[#This Row],[Columna4]]*EZ$5/$EH$5)*$EP$4</f>
        <v>#DIV/0!</v>
      </c>
      <c r="FA23" s="303" t="e">
        <f>(Tabla29268[[#This Row],[Columna4]]*FA$5/$EH$5)*$EP$4</f>
        <v>#DIV/0!</v>
      </c>
      <c r="FB23" s="303" t="e">
        <f>(Tabla29268[[#This Row],[Columna4]]*FB$5/$EH$5)*$EP$4</f>
        <v>#DIV/0!</v>
      </c>
      <c r="FE23" s="357" t="s">
        <v>254</v>
      </c>
      <c r="FF23" s="366">
        <f>FF167</f>
        <v>-1.6666666666666666E-2</v>
      </c>
      <c r="FG23" s="366">
        <f t="shared" ref="FG23:FQ23" si="148">FG167</f>
        <v>-1.6666666666666666E-2</v>
      </c>
      <c r="FH23" s="366">
        <f t="shared" si="148"/>
        <v>-1.6666666666666666E-2</v>
      </c>
      <c r="FI23" s="366">
        <f t="shared" si="148"/>
        <v>-1.6666666666666666E-2</v>
      </c>
      <c r="FJ23" s="366">
        <f t="shared" si="148"/>
        <v>-1.6666666666666666E-2</v>
      </c>
      <c r="FK23" s="366">
        <f t="shared" si="148"/>
        <v>-1.6666666666666666E-2</v>
      </c>
      <c r="FL23" s="366">
        <f t="shared" si="148"/>
        <v>-1.6666666666666666E-2</v>
      </c>
      <c r="FM23" s="366">
        <f t="shared" si="148"/>
        <v>-1.6666666666666666E-2</v>
      </c>
      <c r="FN23" s="366">
        <f t="shared" si="148"/>
        <v>-1.6666666666666666E-2</v>
      </c>
      <c r="FO23" s="366">
        <f t="shared" si="148"/>
        <v>-1.6666666666666666E-2</v>
      </c>
      <c r="FP23" s="366">
        <f t="shared" si="148"/>
        <v>-1.6666666666666666E-2</v>
      </c>
      <c r="FQ23" s="366">
        <f t="shared" si="148"/>
        <v>-1.6666666666666666E-2</v>
      </c>
      <c r="FR23" s="309">
        <f t="shared" ref="FR23" si="149">SUM(FF23:FQ23)</f>
        <v>-0.19999999999999998</v>
      </c>
      <c r="FS23" s="260" t="e">
        <f>FR23/$FR$6</f>
        <v>#DIV/0!</v>
      </c>
      <c r="FV23" s="357" t="s">
        <v>738</v>
      </c>
      <c r="FW23" s="366">
        <f>FF23</f>
        <v>-1.6666666666666666E-2</v>
      </c>
      <c r="FX23" s="366">
        <f t="shared" ref="FX23:GH23" si="150">FG23</f>
        <v>-1.6666666666666666E-2</v>
      </c>
      <c r="FY23" s="366">
        <f t="shared" si="150"/>
        <v>-1.6666666666666666E-2</v>
      </c>
      <c r="FZ23" s="366">
        <f t="shared" si="150"/>
        <v>-1.6666666666666666E-2</v>
      </c>
      <c r="GA23" s="366">
        <f t="shared" si="150"/>
        <v>-1.6666666666666666E-2</v>
      </c>
      <c r="GB23" s="366">
        <f t="shared" si="150"/>
        <v>-1.6666666666666666E-2</v>
      </c>
      <c r="GC23" s="366">
        <f t="shared" si="150"/>
        <v>-1.6666666666666666E-2</v>
      </c>
      <c r="GD23" s="366">
        <f t="shared" si="150"/>
        <v>-1.6666666666666666E-2</v>
      </c>
      <c r="GE23" s="366">
        <f t="shared" si="150"/>
        <v>-1.6666666666666666E-2</v>
      </c>
      <c r="GF23" s="366">
        <f t="shared" si="150"/>
        <v>-1.6666666666666666E-2</v>
      </c>
      <c r="GG23" s="366">
        <f t="shared" si="150"/>
        <v>-1.6666666666666666E-2</v>
      </c>
      <c r="GH23" s="366">
        <f t="shared" si="150"/>
        <v>-1.6666666666666666E-2</v>
      </c>
      <c r="GI23" s="309">
        <f t="shared" ref="GI23" si="151">SUM(FW23:GH23)</f>
        <v>-0.19999999999999998</v>
      </c>
      <c r="GJ23" s="262" t="e">
        <f>GI23/$GI$6</f>
        <v>#DIV/0!</v>
      </c>
      <c r="GL23" s="250">
        <f t="shared" si="131"/>
        <v>14</v>
      </c>
      <c r="GM23" s="352" t="s">
        <v>466</v>
      </c>
      <c r="GN23" s="353">
        <f t="shared" ref="GN23:GY23" si="152">FF63</f>
        <v>0</v>
      </c>
      <c r="GO23" s="353">
        <f t="shared" si="152"/>
        <v>0</v>
      </c>
      <c r="GP23" s="353">
        <f t="shared" si="152"/>
        <v>0</v>
      </c>
      <c r="GQ23" s="353">
        <f t="shared" si="152"/>
        <v>0</v>
      </c>
      <c r="GR23" s="353">
        <f t="shared" si="152"/>
        <v>0</v>
      </c>
      <c r="GS23" s="353">
        <f t="shared" si="152"/>
        <v>0</v>
      </c>
      <c r="GT23" s="353">
        <f t="shared" si="152"/>
        <v>0</v>
      </c>
      <c r="GU23" s="353">
        <f t="shared" si="152"/>
        <v>0</v>
      </c>
      <c r="GV23" s="353">
        <f t="shared" si="152"/>
        <v>0</v>
      </c>
      <c r="GW23" s="353">
        <f t="shared" si="152"/>
        <v>0</v>
      </c>
      <c r="GX23" s="353">
        <f t="shared" si="152"/>
        <v>0</v>
      </c>
      <c r="GY23" s="353">
        <f t="shared" si="152"/>
        <v>0</v>
      </c>
      <c r="GZ23" s="328">
        <f t="shared" si="125"/>
        <v>0</v>
      </c>
      <c r="HA23" s="329" t="e">
        <f t="shared" si="55"/>
        <v>#DIV/0!</v>
      </c>
      <c r="HB23" s="244" t="b">
        <f>GZ23=FR63</f>
        <v>1</v>
      </c>
      <c r="HD23" s="65" t="s">
        <v>796</v>
      </c>
      <c r="HE23" s="66">
        <v>0</v>
      </c>
      <c r="HF23" s="67">
        <f t="shared" si="77"/>
        <v>0</v>
      </c>
      <c r="HG23" s="68">
        <f t="shared" si="78"/>
        <v>0</v>
      </c>
      <c r="HH23" s="69">
        <v>1</v>
      </c>
      <c r="HI23" s="367">
        <v>0</v>
      </c>
      <c r="HJ23" s="140"/>
      <c r="HK23" s="136">
        <f>HF59+HF61+HF62+HF63+HF64+HF65</f>
        <v>0</v>
      </c>
      <c r="HM23" s="330" t="s">
        <v>592</v>
      </c>
      <c r="HN23" s="316"/>
      <c r="HO23" s="354" t="e">
        <f>HN23/HN$9</f>
        <v>#DIV/0!</v>
      </c>
      <c r="HP23" s="316"/>
      <c r="HQ23" s="354" t="e">
        <f t="shared" ref="HQ23" si="153">HP23/HP$9</f>
        <v>#DIV/0!</v>
      </c>
      <c r="HR23" s="316"/>
      <c r="HS23" s="354" t="e">
        <f t="shared" ref="HS23" si="154">HR23/HR$9</f>
        <v>#DIV/0!</v>
      </c>
      <c r="HT23" s="316"/>
      <c r="HU23" s="354" t="e">
        <f t="shared" ref="HU23" si="155">HT23/HT$9</f>
        <v>#DIV/0!</v>
      </c>
      <c r="HV23" s="316"/>
      <c r="HW23" s="354" t="e">
        <f t="shared" ref="HW23" si="156">HV23/HV$9</f>
        <v>#DIV/0!</v>
      </c>
      <c r="HX23" s="316"/>
      <c r="HY23" s="354" t="e">
        <f t="shared" ref="HY23" si="157">HX23/HX$9</f>
        <v>#DIV/0!</v>
      </c>
      <c r="HZ23" s="316"/>
      <c r="IA23" s="354" t="e">
        <f t="shared" ref="IA23" si="158">HZ23/HZ$9</f>
        <v>#DIV/0!</v>
      </c>
      <c r="IB23" s="316"/>
      <c r="IC23" s="354" t="e">
        <f t="shared" ref="IC23" si="159">IB23/IB$9</f>
        <v>#DIV/0!</v>
      </c>
      <c r="ID23" s="316"/>
      <c r="IE23" s="354" t="e">
        <f t="shared" ref="IE23" si="160">ID23/ID$9</f>
        <v>#DIV/0!</v>
      </c>
      <c r="IF23" s="316"/>
      <c r="IG23" s="354" t="e">
        <f t="shared" ref="IG23" si="161">IF23/IF$9</f>
        <v>#DIV/0!</v>
      </c>
      <c r="IH23" s="316"/>
      <c r="II23" s="354" t="e">
        <f t="shared" ref="II23" si="162">IH23/IH$9</f>
        <v>#DIV/0!</v>
      </c>
      <c r="IJ23" s="316"/>
      <c r="IK23" s="354" t="e">
        <f t="shared" ref="IK23" si="163">IJ23/IJ$9</f>
        <v>#DIV/0!</v>
      </c>
      <c r="IL23" s="333">
        <f>HN23+HP23+HR23+HT23+HV23+HX23+HZ23+IB23+ID23+IF23+IH23+IJ23</f>
        <v>0</v>
      </c>
      <c r="IM23" s="332" t="e">
        <f>IL23/$IL$7</f>
        <v>#DIV/0!</v>
      </c>
    </row>
    <row r="24" spans="2:247" ht="14.4" customHeight="1" x14ac:dyDescent="0.3">
      <c r="B24" s="236">
        <f>D24*D19</f>
        <v>0</v>
      </c>
      <c r="C24" s="44" t="s">
        <v>766</v>
      </c>
      <c r="D24" s="15">
        <f>AA8/D19</f>
        <v>0</v>
      </c>
      <c r="E24" s="15">
        <f>D24*30.42</f>
        <v>0</v>
      </c>
      <c r="F24" s="15">
        <f>E24*12</f>
        <v>0</v>
      </c>
      <c r="I24" s="44" t="s">
        <v>351</v>
      </c>
      <c r="J24" s="48">
        <f>D37*L16</f>
        <v>0</v>
      </c>
      <c r="K24" s="13"/>
      <c r="X24" s="317" t="s">
        <v>299</v>
      </c>
      <c r="Y24" s="317" t="s">
        <v>300</v>
      </c>
      <c r="Z24" s="317" t="s">
        <v>312</v>
      </c>
      <c r="AA24" s="317" t="s">
        <v>313</v>
      </c>
      <c r="AB24" s="317" t="s">
        <v>314</v>
      </c>
      <c r="AD24" s="265" t="s">
        <v>315</v>
      </c>
      <c r="AE24" s="289">
        <v>0.45</v>
      </c>
      <c r="AJ24" s="241" t="s">
        <v>752</v>
      </c>
      <c r="AM24" s="368">
        <f t="shared" si="5"/>
        <v>0</v>
      </c>
      <c r="AN24" s="368">
        <f t="shared" si="6"/>
        <v>0</v>
      </c>
      <c r="AO24" s="368">
        <f t="shared" si="7"/>
        <v>0</v>
      </c>
      <c r="AP24" s="368">
        <f t="shared" si="8"/>
        <v>0</v>
      </c>
      <c r="AQ24" s="369" t="s">
        <v>797</v>
      </c>
      <c r="AR24" s="297">
        <f t="shared" si="9"/>
        <v>0</v>
      </c>
      <c r="AS24" s="370" t="e">
        <f t="shared" si="2"/>
        <v>#DIV/0!</v>
      </c>
      <c r="AT24" s="525"/>
      <c r="AU24" s="525"/>
      <c r="AV24" s="299">
        <v>0</v>
      </c>
      <c r="AW24" s="300">
        <v>0</v>
      </c>
      <c r="AX24" s="301"/>
      <c r="AY24" s="302" t="str">
        <f t="shared" si="145"/>
        <v>Junio</v>
      </c>
      <c r="AZ24" s="385">
        <f>Tabla24[[#Totals],[Columna7]]</f>
        <v>0</v>
      </c>
      <c r="BA24" s="385" t="e">
        <f>Tabla2410[[#Totals],[Columna7]]</f>
        <v>#DIV/0!</v>
      </c>
      <c r="BB24" s="385" t="e">
        <f>Tabla24105[[#Totals],[Columna7]]</f>
        <v>#DIV/0!</v>
      </c>
      <c r="BC24" s="385" t="e">
        <f>Tabla241057[[#Totals],[Columna7]]</f>
        <v>#DIV/0!</v>
      </c>
      <c r="BD24" s="385" t="e">
        <f>Tabla24105711[[#Totals],[Columna7]]</f>
        <v>#DIV/0!</v>
      </c>
      <c r="BE24" s="386" t="e">
        <f t="shared" si="146"/>
        <v>#DIV/0!</v>
      </c>
      <c r="BF24" s="305" t="e">
        <f t="shared" si="147"/>
        <v>#DIV/0!</v>
      </c>
      <c r="BH24" s="525"/>
      <c r="BI24" s="525"/>
      <c r="BJ24" s="370" t="e">
        <f>$AS$22</f>
        <v>#DIV/0!</v>
      </c>
      <c r="BK24" s="242" t="str">
        <f t="shared" si="19"/>
        <v>C17</v>
      </c>
      <c r="BL24" s="303">
        <f t="shared" si="20"/>
        <v>0</v>
      </c>
      <c r="BM24" s="303">
        <f t="shared" si="20"/>
        <v>0</v>
      </c>
      <c r="BN24" s="303">
        <f t="shared" si="20"/>
        <v>0</v>
      </c>
      <c r="BO24" s="303">
        <f t="shared" si="21"/>
        <v>0</v>
      </c>
      <c r="BP24" s="303">
        <f t="shared" si="22"/>
        <v>0</v>
      </c>
      <c r="BQ24" s="303">
        <f t="shared" si="23"/>
        <v>0</v>
      </c>
      <c r="BR24" s="303">
        <f t="shared" si="24"/>
        <v>0</v>
      </c>
      <c r="BS24" s="303">
        <f t="shared" si="25"/>
        <v>0</v>
      </c>
      <c r="BT24" s="303">
        <f t="shared" si="26"/>
        <v>0</v>
      </c>
      <c r="BU24" s="303">
        <f t="shared" si="27"/>
        <v>0</v>
      </c>
      <c r="BV24" s="303">
        <f t="shared" si="28"/>
        <v>0</v>
      </c>
      <c r="BW24" s="303">
        <f t="shared" si="29"/>
        <v>0</v>
      </c>
      <c r="BX24" s="303">
        <f t="shared" si="30"/>
        <v>0</v>
      </c>
      <c r="BY24" s="303">
        <f t="shared" si="31"/>
        <v>0</v>
      </c>
      <c r="BZ24" s="303">
        <f t="shared" si="32"/>
        <v>0</v>
      </c>
      <c r="CB24" s="525"/>
      <c r="CC24" s="525"/>
      <c r="CD24" s="370" t="e">
        <f>$AS$22</f>
        <v>#DIV/0!</v>
      </c>
      <c r="CE24" s="242" t="str">
        <f>Tabla2[[#This Row],[Columna1]]</f>
        <v>C17</v>
      </c>
      <c r="CF24" s="303">
        <f>Tabla29[[#This Row],[Columna3]]/7</f>
        <v>0</v>
      </c>
      <c r="CG24" s="303">
        <f>Tabla29[[#This Row],[Columna4]]/4.2</f>
        <v>0</v>
      </c>
      <c r="CH24" s="303">
        <f>Tabla2[[#This Row],[Columna16]]</f>
        <v>0</v>
      </c>
      <c r="CI24" s="303" t="e">
        <f>(Tabla29[[#This Row],[Columna4]]*CI$5/$BZ$5)*$CH$4</f>
        <v>#DIV/0!</v>
      </c>
      <c r="CJ24" s="303" t="e">
        <f>(Tabla29[[#This Row],[Columna4]]*CJ$5/$BZ$5)*$CH$4</f>
        <v>#DIV/0!</v>
      </c>
      <c r="CK24" s="303" t="e">
        <f>(Tabla29[[#This Row],[Columna4]]*CK$5/$BZ$5)*$CH$4</f>
        <v>#DIV/0!</v>
      </c>
      <c r="CL24" s="303" t="e">
        <f>(Tabla29[[#This Row],[Columna4]]*CL$5/$BZ$5)*$CH$4</f>
        <v>#DIV/0!</v>
      </c>
      <c r="CM24" s="303" t="e">
        <f>(Tabla29[[#This Row],[Columna4]]*CM$5/$BZ$5)*$CH$4</f>
        <v>#DIV/0!</v>
      </c>
      <c r="CN24" s="303" t="e">
        <f>(Tabla29[[#This Row],[Columna4]]*CN$5/$BZ$5)*$CH$4</f>
        <v>#DIV/0!</v>
      </c>
      <c r="CO24" s="303" t="e">
        <f>(Tabla29[[#This Row],[Columna4]]*CO$5/$BZ$5)*$CH$4</f>
        <v>#DIV/0!</v>
      </c>
      <c r="CP24" s="303" t="e">
        <f>(Tabla29[[#This Row],[Columna4]]*CP$5/$BZ$5)*$CH$4</f>
        <v>#DIV/0!</v>
      </c>
      <c r="CQ24" s="303" t="e">
        <f>(Tabla29[[#This Row],[Columna4]]*CQ$5/$BZ$5)*$CH$4</f>
        <v>#DIV/0!</v>
      </c>
      <c r="CR24" s="303" t="e">
        <f>(Tabla29[[#This Row],[Columna4]]*CR$5/$BZ$5)*$CH$4</f>
        <v>#DIV/0!</v>
      </c>
      <c r="CS24" s="303" t="e">
        <f>(Tabla29[[#This Row],[Columna4]]*CS$5/$BZ$5)*$CH$4</f>
        <v>#DIV/0!</v>
      </c>
      <c r="CT24" s="303" t="e">
        <f>(Tabla29[[#This Row],[Columna4]]*CT$5/$BZ$5)*$CH$4</f>
        <v>#DIV/0!</v>
      </c>
      <c r="CV24" s="525"/>
      <c r="CW24" s="525"/>
      <c r="CX24" s="370" t="e">
        <f>$AS$22</f>
        <v>#DIV/0!</v>
      </c>
      <c r="CY24" s="242" t="str">
        <f>Tabla2[[#This Row],[Columna1]]</f>
        <v>C17</v>
      </c>
      <c r="CZ24" s="303" t="e">
        <f>Tabla292[[#This Row],[Columna3]]/7</f>
        <v>#DIV/0!</v>
      </c>
      <c r="DA24" s="303" t="e">
        <f>Tabla292[[#This Row],[Columna4]]/4.2</f>
        <v>#DIV/0!</v>
      </c>
      <c r="DB24" s="303" t="e">
        <f>Tabla29[[#This Row],[Columna16]]</f>
        <v>#DIV/0!</v>
      </c>
      <c r="DC24" s="303" t="e">
        <f>(Tabla292[[#This Row],[Columna4]]*DC$5/$CT$5)*$DB$4</f>
        <v>#DIV/0!</v>
      </c>
      <c r="DD24" s="303" t="e">
        <f>(Tabla292[[#This Row],[Columna4]]*DD$5/$CT$5)*$DB$4</f>
        <v>#DIV/0!</v>
      </c>
      <c r="DE24" s="303" t="e">
        <f>(Tabla292[[#This Row],[Columna4]]*DE$5/$CT$5)*$DB$4</f>
        <v>#DIV/0!</v>
      </c>
      <c r="DF24" s="303" t="e">
        <f>(Tabla292[[#This Row],[Columna4]]*DF$5/$CT$5)*$DB$4</f>
        <v>#DIV/0!</v>
      </c>
      <c r="DG24" s="303" t="e">
        <f>(Tabla292[[#This Row],[Columna4]]*DG$5/$CT$5)*$DB$4</f>
        <v>#DIV/0!</v>
      </c>
      <c r="DH24" s="303" t="e">
        <f>(Tabla292[[#This Row],[Columna4]]*DH$5/$CT$5)*$DB$4</f>
        <v>#DIV/0!</v>
      </c>
      <c r="DI24" s="303" t="e">
        <f>(Tabla292[[#This Row],[Columna4]]*DI$5/$CT$5)*$DB$4</f>
        <v>#DIV/0!</v>
      </c>
      <c r="DJ24" s="303" t="e">
        <f>(Tabla292[[#This Row],[Columna4]]*DJ$5/$CT$5)*$DB$4</f>
        <v>#DIV/0!</v>
      </c>
      <c r="DK24" s="303" t="e">
        <f>(Tabla292[[#This Row],[Columna4]]*DK$5/$CT$5)*$DB$4</f>
        <v>#DIV/0!</v>
      </c>
      <c r="DL24" s="303" t="e">
        <f>(Tabla292[[#This Row],[Columna4]]*DL$5/$CT$5)*$DB$4</f>
        <v>#DIV/0!</v>
      </c>
      <c r="DM24" s="303" t="e">
        <f>(Tabla292[[#This Row],[Columna4]]*DM$5/$CT$5)*$DB$4</f>
        <v>#DIV/0!</v>
      </c>
      <c r="DN24" s="303" t="e">
        <f>(Tabla292[[#This Row],[Columna4]]*DN$5/$CT$5)*$DB$4</f>
        <v>#DIV/0!</v>
      </c>
      <c r="DP24" s="525"/>
      <c r="DQ24" s="525"/>
      <c r="DR24" s="370" t="e">
        <f>$AS$22</f>
        <v>#DIV/0!</v>
      </c>
      <c r="DS24" s="242" t="str">
        <f>Tabla2[[#This Row],[Columna1]]</f>
        <v>C17</v>
      </c>
      <c r="DT24" s="303" t="e">
        <f>Tabla2926[[#This Row],[Columna3]]/7</f>
        <v>#DIV/0!</v>
      </c>
      <c r="DU24" s="303" t="e">
        <f>Tabla2926[[#This Row],[Columna4]]/4.2</f>
        <v>#DIV/0!</v>
      </c>
      <c r="DV24" s="303" t="e">
        <f>Tabla292[[#This Row],[Columna16]]</f>
        <v>#DIV/0!</v>
      </c>
      <c r="DW24" s="303" t="e">
        <f>(Tabla2926[[#This Row],[Columna4]]*DW$5/$DN$5)*$DV$4</f>
        <v>#DIV/0!</v>
      </c>
      <c r="DX24" s="303" t="e">
        <f>(Tabla2926[[#This Row],[Columna4]]*DX$5/$DN$5)*$DV$4</f>
        <v>#DIV/0!</v>
      </c>
      <c r="DY24" s="303" t="e">
        <f>(Tabla2926[[#This Row],[Columna4]]*DY$5/$DN$5)*$DV$4</f>
        <v>#DIV/0!</v>
      </c>
      <c r="DZ24" s="303" t="e">
        <f>(Tabla2926[[#This Row],[Columna4]]*DZ$5/$DN$5)*$DV$4</f>
        <v>#DIV/0!</v>
      </c>
      <c r="EA24" s="303" t="e">
        <f>(Tabla2926[[#This Row],[Columna4]]*EA$5/$DN$5)*$DV$4</f>
        <v>#DIV/0!</v>
      </c>
      <c r="EB24" s="303" t="e">
        <f>(Tabla2926[[#This Row],[Columna4]]*EB$5/$DN$5)*$DV$4</f>
        <v>#DIV/0!</v>
      </c>
      <c r="EC24" s="303" t="e">
        <f>(Tabla2926[[#This Row],[Columna4]]*EC$5/$DN$5)*$DV$4</f>
        <v>#DIV/0!</v>
      </c>
      <c r="ED24" s="303" t="e">
        <f>(Tabla2926[[#This Row],[Columna4]]*ED$5/$DN$5)*$DV$4</f>
        <v>#DIV/0!</v>
      </c>
      <c r="EE24" s="303" t="e">
        <f>(Tabla2926[[#This Row],[Columna4]]*EE$5/$DN$5)*$DV$4</f>
        <v>#DIV/0!</v>
      </c>
      <c r="EF24" s="303" t="e">
        <f>(Tabla2926[[#This Row],[Columna4]]*EF$5/$DN$5)*$DV$4</f>
        <v>#DIV/0!</v>
      </c>
      <c r="EG24" s="303" t="e">
        <f>(Tabla2926[[#This Row],[Columna4]]*EG$5/$DN$5)*$DV$4</f>
        <v>#DIV/0!</v>
      </c>
      <c r="EH24" s="303" t="e">
        <f>(Tabla2926[[#This Row],[Columna4]]*EH$5/$DN$5)*$DV$4</f>
        <v>#DIV/0!</v>
      </c>
      <c r="EJ24" s="525"/>
      <c r="EK24" s="525"/>
      <c r="EL24" s="370" t="e">
        <f>$AS$22</f>
        <v>#DIV/0!</v>
      </c>
      <c r="EM24" s="242" t="str">
        <f>Tabla2[[#This Row],[Columna1]]</f>
        <v>C17</v>
      </c>
      <c r="EN24" s="303" t="e">
        <f>Tabla29268[[#This Row],[Columna3]]/7</f>
        <v>#DIV/0!</v>
      </c>
      <c r="EO24" s="303" t="e">
        <f>Tabla29268[[#This Row],[Columna4]]/4.2</f>
        <v>#DIV/0!</v>
      </c>
      <c r="EP24" s="303" t="e">
        <f>Tabla2926[[#This Row],[Columna16]]</f>
        <v>#DIV/0!</v>
      </c>
      <c r="EQ24" s="303" t="e">
        <f>(Tabla29268[[#This Row],[Columna4]]*EQ$5/$EH$5)*$EP$4</f>
        <v>#DIV/0!</v>
      </c>
      <c r="ER24" s="303" t="e">
        <f>(Tabla29268[[#This Row],[Columna4]]*ER$5/$EH$5)*$EP$4</f>
        <v>#DIV/0!</v>
      </c>
      <c r="ES24" s="303" t="e">
        <f>(Tabla29268[[#This Row],[Columna4]]*ES$5/$EH$5)*$EP$4</f>
        <v>#DIV/0!</v>
      </c>
      <c r="ET24" s="303" t="e">
        <f>(Tabla29268[[#This Row],[Columna4]]*ET$5/$EH$5)*$EP$4</f>
        <v>#DIV/0!</v>
      </c>
      <c r="EU24" s="303" t="e">
        <f>(Tabla29268[[#This Row],[Columna4]]*EU$5/$EH$5)*$EP$4</f>
        <v>#DIV/0!</v>
      </c>
      <c r="EV24" s="303" t="e">
        <f>(Tabla29268[[#This Row],[Columna4]]*EV$5/$EH$5)*$EP$4</f>
        <v>#DIV/0!</v>
      </c>
      <c r="EW24" s="303" t="e">
        <f>(Tabla29268[[#This Row],[Columna4]]*EW$5/$EH$5)*$EP$4</f>
        <v>#DIV/0!</v>
      </c>
      <c r="EX24" s="303" t="e">
        <f>(Tabla29268[[#This Row],[Columna4]]*EX$5/$EH$5)*$EP$4</f>
        <v>#DIV/0!</v>
      </c>
      <c r="EY24" s="303" t="e">
        <f>(Tabla29268[[#This Row],[Columna4]]*EY$5/$EH$5)*$EP$4</f>
        <v>#DIV/0!</v>
      </c>
      <c r="EZ24" s="303" t="e">
        <f>(Tabla29268[[#This Row],[Columna4]]*EZ$5/$EH$5)*$EP$4</f>
        <v>#DIV/0!</v>
      </c>
      <c r="FA24" s="303" t="e">
        <f>(Tabla29268[[#This Row],[Columna4]]*FA$5/$EH$5)*$EP$4</f>
        <v>#DIV/0!</v>
      </c>
      <c r="FB24" s="303" t="e">
        <f>(Tabla29268[[#This Row],[Columna4]]*FB$5/$EH$5)*$EP$4</f>
        <v>#DIV/0!</v>
      </c>
      <c r="FG24" s="351"/>
      <c r="FH24" s="351"/>
      <c r="FI24" s="351"/>
      <c r="FJ24" s="351"/>
      <c r="FK24" s="351"/>
      <c r="FL24" s="351"/>
      <c r="FM24" s="351"/>
      <c r="FN24" s="351"/>
      <c r="FO24" s="351"/>
      <c r="FP24" s="351"/>
      <c r="FQ24" s="351"/>
      <c r="FS24" s="260"/>
      <c r="FX24" s="351"/>
      <c r="FY24" s="351"/>
      <c r="FZ24" s="351"/>
      <c r="GA24" s="351"/>
      <c r="GB24" s="351"/>
      <c r="GC24" s="351"/>
      <c r="GD24" s="351"/>
      <c r="GE24" s="351"/>
      <c r="GF24" s="351"/>
      <c r="GG24" s="351"/>
      <c r="GH24" s="351"/>
      <c r="GJ24" s="262"/>
      <c r="GL24" s="250">
        <f t="shared" si="131"/>
        <v>15</v>
      </c>
      <c r="GM24" s="352" t="s">
        <v>467</v>
      </c>
      <c r="GN24" s="353">
        <f t="shared" ref="GN24:GY24" si="164">FF80</f>
        <v>0</v>
      </c>
      <c r="GO24" s="353">
        <f t="shared" si="164"/>
        <v>0</v>
      </c>
      <c r="GP24" s="353">
        <f t="shared" si="164"/>
        <v>0</v>
      </c>
      <c r="GQ24" s="353">
        <f t="shared" si="164"/>
        <v>0</v>
      </c>
      <c r="GR24" s="353">
        <f t="shared" si="164"/>
        <v>0</v>
      </c>
      <c r="GS24" s="353">
        <f t="shared" si="164"/>
        <v>0</v>
      </c>
      <c r="GT24" s="353">
        <f t="shared" si="164"/>
        <v>0</v>
      </c>
      <c r="GU24" s="353">
        <f t="shared" si="164"/>
        <v>0</v>
      </c>
      <c r="GV24" s="353">
        <f t="shared" si="164"/>
        <v>0</v>
      </c>
      <c r="GW24" s="353">
        <f t="shared" si="164"/>
        <v>0</v>
      </c>
      <c r="GX24" s="353">
        <f t="shared" si="164"/>
        <v>0</v>
      </c>
      <c r="GY24" s="353">
        <f t="shared" si="164"/>
        <v>0</v>
      </c>
      <c r="GZ24" s="328">
        <f t="shared" si="125"/>
        <v>0</v>
      </c>
      <c r="HA24" s="329" t="e">
        <f t="shared" si="55"/>
        <v>#DIV/0!</v>
      </c>
      <c r="HB24" s="244" t="b">
        <f>GZ24=FR80</f>
        <v>1</v>
      </c>
      <c r="HD24" s="65" t="s">
        <v>798</v>
      </c>
      <c r="HE24" s="66">
        <v>0</v>
      </c>
      <c r="HF24" s="67">
        <f t="shared" si="77"/>
        <v>0</v>
      </c>
      <c r="HG24" s="68">
        <f t="shared" si="78"/>
        <v>0</v>
      </c>
      <c r="HH24" s="69">
        <v>1</v>
      </c>
      <c r="HI24" s="367">
        <v>0</v>
      </c>
      <c r="HJ24" s="140"/>
      <c r="HK24" s="90" t="s">
        <v>645</v>
      </c>
      <c r="HM24" s="283"/>
      <c r="HN24" s="316"/>
      <c r="HO24" s="371"/>
      <c r="HP24" s="316"/>
      <c r="HQ24" s="371"/>
      <c r="HR24" s="316"/>
      <c r="HS24" s="371"/>
      <c r="HT24" s="316"/>
      <c r="HU24" s="371"/>
      <c r="HV24" s="316"/>
      <c r="HW24" s="371"/>
      <c r="HX24" s="316"/>
      <c r="HY24" s="371"/>
      <c r="HZ24" s="316"/>
      <c r="IA24" s="371"/>
      <c r="IB24" s="316"/>
      <c r="IC24" s="371"/>
      <c r="ID24" s="316"/>
      <c r="IE24" s="371"/>
      <c r="IF24" s="316"/>
      <c r="IG24" s="371"/>
      <c r="IH24" s="316"/>
      <c r="II24" s="371"/>
      <c r="IJ24" s="316"/>
      <c r="IK24" s="371"/>
      <c r="IL24" s="388"/>
      <c r="IM24" s="371"/>
    </row>
    <row r="25" spans="2:247" ht="14.4" customHeight="1" x14ac:dyDescent="0.3">
      <c r="B25" s="236">
        <f>D25*$D$19</f>
        <v>0</v>
      </c>
      <c r="C25" s="44" t="s">
        <v>613</v>
      </c>
      <c r="D25" s="15">
        <f>$D$24*B20</f>
        <v>0</v>
      </c>
      <c r="E25" s="15">
        <f t="shared" ref="E25:E34" si="165">D25*30.42</f>
        <v>0</v>
      </c>
      <c r="F25" s="15">
        <f t="shared" ref="F25:F34" si="166">E25*12</f>
        <v>0</v>
      </c>
      <c r="I25" s="44" t="s">
        <v>508</v>
      </c>
      <c r="J25" s="48">
        <f>(D37*L17)/D45</f>
        <v>0</v>
      </c>
      <c r="K25" s="13"/>
      <c r="L25" s="13"/>
      <c r="M25" s="13"/>
      <c r="N25" s="13"/>
      <c r="X25" s="335" t="e">
        <f>Z25/$Z$37</f>
        <v>#DIV/0!</v>
      </c>
      <c r="Y25" s="336" t="s">
        <v>317</v>
      </c>
      <c r="Z25" s="389">
        <f>(AG25*$AR$1)+AG25</f>
        <v>0</v>
      </c>
      <c r="AA25" s="299">
        <v>34.883099999999999</v>
      </c>
      <c r="AB25" s="339">
        <f>(Z25/AA25)*$W$6</f>
        <v>0</v>
      </c>
      <c r="AD25" s="336" t="str">
        <f>W8</f>
        <v>Abril</v>
      </c>
      <c r="AE25" s="289">
        <v>0.56000000000000005</v>
      </c>
      <c r="AG25" s="390">
        <v>0</v>
      </c>
      <c r="AJ25" s="391">
        <v>1</v>
      </c>
      <c r="AK25" s="392">
        <v>0.35</v>
      </c>
      <c r="AM25" s="368">
        <f t="shared" si="5"/>
        <v>0</v>
      </c>
      <c r="AN25" s="368">
        <f t="shared" si="6"/>
        <v>0</v>
      </c>
      <c r="AO25" s="368">
        <f t="shared" si="7"/>
        <v>0</v>
      </c>
      <c r="AP25" s="368">
        <f t="shared" si="8"/>
        <v>0</v>
      </c>
      <c r="AQ25" s="369" t="s">
        <v>799</v>
      </c>
      <c r="AR25" s="297">
        <f t="shared" si="9"/>
        <v>0</v>
      </c>
      <c r="AS25" s="370" t="e">
        <f t="shared" si="2"/>
        <v>#DIV/0!</v>
      </c>
      <c r="AT25" s="525"/>
      <c r="AU25" s="525"/>
      <c r="AV25" s="299">
        <v>0</v>
      </c>
      <c r="AW25" s="300">
        <v>0</v>
      </c>
      <c r="AX25" s="301"/>
      <c r="AY25" s="302" t="str">
        <f t="shared" si="145"/>
        <v>Julio</v>
      </c>
      <c r="AZ25" s="385">
        <f>Tabla24[[#Totals],[Columna8]]</f>
        <v>0</v>
      </c>
      <c r="BA25" s="385" t="e">
        <f>Tabla2410[[#Totals],[Columna8]]</f>
        <v>#DIV/0!</v>
      </c>
      <c r="BB25" s="385" t="e">
        <f>Tabla24105[[#Totals],[Columna8]]</f>
        <v>#DIV/0!</v>
      </c>
      <c r="BC25" s="385" t="e">
        <f>Tabla241057[[#Totals],[Columna8]]</f>
        <v>#DIV/0!</v>
      </c>
      <c r="BD25" s="385" t="e">
        <f>Tabla24105711[[#Totals],[Columna8]]</f>
        <v>#DIV/0!</v>
      </c>
      <c r="BE25" s="386" t="e">
        <f t="shared" si="146"/>
        <v>#DIV/0!</v>
      </c>
      <c r="BF25" s="305" t="e">
        <f t="shared" si="147"/>
        <v>#DIV/0!</v>
      </c>
      <c r="BH25" s="525"/>
      <c r="BI25" s="525"/>
      <c r="BJ25" s="370" t="e">
        <f>$AS$23</f>
        <v>#DIV/0!</v>
      </c>
      <c r="BK25" s="242" t="str">
        <f t="shared" si="19"/>
        <v>C18</v>
      </c>
      <c r="BL25" s="303">
        <f t="shared" si="20"/>
        <v>0</v>
      </c>
      <c r="BM25" s="303">
        <f t="shared" si="20"/>
        <v>0</v>
      </c>
      <c r="BN25" s="303">
        <f t="shared" si="20"/>
        <v>0</v>
      </c>
      <c r="BO25" s="303">
        <f t="shared" si="21"/>
        <v>0</v>
      </c>
      <c r="BP25" s="303">
        <f t="shared" si="22"/>
        <v>0</v>
      </c>
      <c r="BQ25" s="303">
        <f t="shared" si="23"/>
        <v>0</v>
      </c>
      <c r="BR25" s="303">
        <f t="shared" si="24"/>
        <v>0</v>
      </c>
      <c r="BS25" s="303">
        <f t="shared" si="25"/>
        <v>0</v>
      </c>
      <c r="BT25" s="303">
        <f t="shared" si="26"/>
        <v>0</v>
      </c>
      <c r="BU25" s="303">
        <f t="shared" si="27"/>
        <v>0</v>
      </c>
      <c r="BV25" s="303">
        <f t="shared" si="28"/>
        <v>0</v>
      </c>
      <c r="BW25" s="303">
        <f t="shared" si="29"/>
        <v>0</v>
      </c>
      <c r="BX25" s="303">
        <f t="shared" si="30"/>
        <v>0</v>
      </c>
      <c r="BY25" s="303">
        <f t="shared" si="31"/>
        <v>0</v>
      </c>
      <c r="BZ25" s="303">
        <f t="shared" si="32"/>
        <v>0</v>
      </c>
      <c r="CB25" s="525"/>
      <c r="CC25" s="525"/>
      <c r="CD25" s="370" t="e">
        <f>$AS$23</f>
        <v>#DIV/0!</v>
      </c>
      <c r="CE25" s="242" t="str">
        <f>Tabla2[[#This Row],[Columna1]]</f>
        <v>C18</v>
      </c>
      <c r="CF25" s="303">
        <f>Tabla29[[#This Row],[Columna3]]/7</f>
        <v>0</v>
      </c>
      <c r="CG25" s="303">
        <f>Tabla29[[#This Row],[Columna4]]/4.2</f>
        <v>0</v>
      </c>
      <c r="CH25" s="303">
        <f>Tabla2[[#This Row],[Columna16]]</f>
        <v>0</v>
      </c>
      <c r="CI25" s="303" t="e">
        <f>(Tabla29[[#This Row],[Columna4]]*CI$5/$BZ$5)*$CH$4</f>
        <v>#DIV/0!</v>
      </c>
      <c r="CJ25" s="303" t="e">
        <f>(Tabla29[[#This Row],[Columna4]]*CJ$5/$BZ$5)*$CH$4</f>
        <v>#DIV/0!</v>
      </c>
      <c r="CK25" s="303" t="e">
        <f>(Tabla29[[#This Row],[Columna4]]*CK$5/$BZ$5)*$CH$4</f>
        <v>#DIV/0!</v>
      </c>
      <c r="CL25" s="303" t="e">
        <f>(Tabla29[[#This Row],[Columna4]]*CL$5/$BZ$5)*$CH$4</f>
        <v>#DIV/0!</v>
      </c>
      <c r="CM25" s="303" t="e">
        <f>(Tabla29[[#This Row],[Columna4]]*CM$5/$BZ$5)*$CH$4</f>
        <v>#DIV/0!</v>
      </c>
      <c r="CN25" s="303" t="e">
        <f>(Tabla29[[#This Row],[Columna4]]*CN$5/$BZ$5)*$CH$4</f>
        <v>#DIV/0!</v>
      </c>
      <c r="CO25" s="303" t="e">
        <f>(Tabla29[[#This Row],[Columna4]]*CO$5/$BZ$5)*$CH$4</f>
        <v>#DIV/0!</v>
      </c>
      <c r="CP25" s="303" t="e">
        <f>(Tabla29[[#This Row],[Columna4]]*CP$5/$BZ$5)*$CH$4</f>
        <v>#DIV/0!</v>
      </c>
      <c r="CQ25" s="303" t="e">
        <f>(Tabla29[[#This Row],[Columna4]]*CQ$5/$BZ$5)*$CH$4</f>
        <v>#DIV/0!</v>
      </c>
      <c r="CR25" s="303" t="e">
        <f>(Tabla29[[#This Row],[Columna4]]*CR$5/$BZ$5)*$CH$4</f>
        <v>#DIV/0!</v>
      </c>
      <c r="CS25" s="303" t="e">
        <f>(Tabla29[[#This Row],[Columna4]]*CS$5/$BZ$5)*$CH$4</f>
        <v>#DIV/0!</v>
      </c>
      <c r="CT25" s="303" t="e">
        <f>(Tabla29[[#This Row],[Columna4]]*CT$5/$BZ$5)*$CH$4</f>
        <v>#DIV/0!</v>
      </c>
      <c r="CV25" s="525"/>
      <c r="CW25" s="525"/>
      <c r="CX25" s="370" t="e">
        <f>$AS$23</f>
        <v>#DIV/0!</v>
      </c>
      <c r="CY25" s="242" t="str">
        <f>Tabla2[[#This Row],[Columna1]]</f>
        <v>C18</v>
      </c>
      <c r="CZ25" s="303" t="e">
        <f>Tabla292[[#This Row],[Columna3]]/7</f>
        <v>#DIV/0!</v>
      </c>
      <c r="DA25" s="303" t="e">
        <f>Tabla292[[#This Row],[Columna4]]/4.2</f>
        <v>#DIV/0!</v>
      </c>
      <c r="DB25" s="303" t="e">
        <f>Tabla29[[#This Row],[Columna16]]</f>
        <v>#DIV/0!</v>
      </c>
      <c r="DC25" s="303" t="e">
        <f>(Tabla292[[#This Row],[Columna4]]*DC$5/$CT$5)*$DB$4</f>
        <v>#DIV/0!</v>
      </c>
      <c r="DD25" s="303" t="e">
        <f>(Tabla292[[#This Row],[Columna4]]*DD$5/$CT$5)*$DB$4</f>
        <v>#DIV/0!</v>
      </c>
      <c r="DE25" s="303" t="e">
        <f>(Tabla292[[#This Row],[Columna4]]*DE$5/$CT$5)*$DB$4</f>
        <v>#DIV/0!</v>
      </c>
      <c r="DF25" s="303" t="e">
        <f>(Tabla292[[#This Row],[Columna4]]*DF$5/$CT$5)*$DB$4</f>
        <v>#DIV/0!</v>
      </c>
      <c r="DG25" s="303" t="e">
        <f>(Tabla292[[#This Row],[Columna4]]*DG$5/$CT$5)*$DB$4</f>
        <v>#DIV/0!</v>
      </c>
      <c r="DH25" s="303" t="e">
        <f>(Tabla292[[#This Row],[Columna4]]*DH$5/$CT$5)*$DB$4</f>
        <v>#DIV/0!</v>
      </c>
      <c r="DI25" s="303" t="e">
        <f>(Tabla292[[#This Row],[Columna4]]*DI$5/$CT$5)*$DB$4</f>
        <v>#DIV/0!</v>
      </c>
      <c r="DJ25" s="303" t="e">
        <f>(Tabla292[[#This Row],[Columna4]]*DJ$5/$CT$5)*$DB$4</f>
        <v>#DIV/0!</v>
      </c>
      <c r="DK25" s="303" t="e">
        <f>(Tabla292[[#This Row],[Columna4]]*DK$5/$CT$5)*$DB$4</f>
        <v>#DIV/0!</v>
      </c>
      <c r="DL25" s="303" t="e">
        <f>(Tabla292[[#This Row],[Columna4]]*DL$5/$CT$5)*$DB$4</f>
        <v>#DIV/0!</v>
      </c>
      <c r="DM25" s="303" t="e">
        <f>(Tabla292[[#This Row],[Columna4]]*DM$5/$CT$5)*$DB$4</f>
        <v>#DIV/0!</v>
      </c>
      <c r="DN25" s="303" t="e">
        <f>(Tabla292[[#This Row],[Columna4]]*DN$5/$CT$5)*$DB$4</f>
        <v>#DIV/0!</v>
      </c>
      <c r="DP25" s="525"/>
      <c r="DQ25" s="525"/>
      <c r="DR25" s="370" t="e">
        <f>$AS$23</f>
        <v>#DIV/0!</v>
      </c>
      <c r="DS25" s="242" t="str">
        <f>Tabla2[[#This Row],[Columna1]]</f>
        <v>C18</v>
      </c>
      <c r="DT25" s="303" t="e">
        <f>Tabla2926[[#This Row],[Columna3]]/7</f>
        <v>#DIV/0!</v>
      </c>
      <c r="DU25" s="303" t="e">
        <f>Tabla2926[[#This Row],[Columna4]]/4.2</f>
        <v>#DIV/0!</v>
      </c>
      <c r="DV25" s="303" t="e">
        <f>Tabla292[[#This Row],[Columna16]]</f>
        <v>#DIV/0!</v>
      </c>
      <c r="DW25" s="303" t="e">
        <f>(Tabla2926[[#This Row],[Columna4]]*DW$5/$DN$5)*$DV$4</f>
        <v>#DIV/0!</v>
      </c>
      <c r="DX25" s="303" t="e">
        <f>(Tabla2926[[#This Row],[Columna4]]*DX$5/$DN$5)*$DV$4</f>
        <v>#DIV/0!</v>
      </c>
      <c r="DY25" s="303" t="e">
        <f>(Tabla2926[[#This Row],[Columna4]]*DY$5/$DN$5)*$DV$4</f>
        <v>#DIV/0!</v>
      </c>
      <c r="DZ25" s="303" t="e">
        <f>(Tabla2926[[#This Row],[Columna4]]*DZ$5/$DN$5)*$DV$4</f>
        <v>#DIV/0!</v>
      </c>
      <c r="EA25" s="303" t="e">
        <f>(Tabla2926[[#This Row],[Columna4]]*EA$5/$DN$5)*$DV$4</f>
        <v>#DIV/0!</v>
      </c>
      <c r="EB25" s="303" t="e">
        <f>(Tabla2926[[#This Row],[Columna4]]*EB$5/$DN$5)*$DV$4</f>
        <v>#DIV/0!</v>
      </c>
      <c r="EC25" s="303" t="e">
        <f>(Tabla2926[[#This Row],[Columna4]]*EC$5/$DN$5)*$DV$4</f>
        <v>#DIV/0!</v>
      </c>
      <c r="ED25" s="303" t="e">
        <f>(Tabla2926[[#This Row],[Columna4]]*ED$5/$DN$5)*$DV$4</f>
        <v>#DIV/0!</v>
      </c>
      <c r="EE25" s="303" t="e">
        <f>(Tabla2926[[#This Row],[Columna4]]*EE$5/$DN$5)*$DV$4</f>
        <v>#DIV/0!</v>
      </c>
      <c r="EF25" s="303" t="e">
        <f>(Tabla2926[[#This Row],[Columna4]]*EF$5/$DN$5)*$DV$4</f>
        <v>#DIV/0!</v>
      </c>
      <c r="EG25" s="303" t="e">
        <f>(Tabla2926[[#This Row],[Columna4]]*EG$5/$DN$5)*$DV$4</f>
        <v>#DIV/0!</v>
      </c>
      <c r="EH25" s="303" t="e">
        <f>(Tabla2926[[#This Row],[Columna4]]*EH$5/$DN$5)*$DV$4</f>
        <v>#DIV/0!</v>
      </c>
      <c r="EJ25" s="525"/>
      <c r="EK25" s="525"/>
      <c r="EL25" s="370" t="e">
        <f>$AS$23</f>
        <v>#DIV/0!</v>
      </c>
      <c r="EM25" s="242" t="str">
        <f>Tabla2[[#This Row],[Columna1]]</f>
        <v>C18</v>
      </c>
      <c r="EN25" s="303" t="e">
        <f>Tabla29268[[#This Row],[Columna3]]/7</f>
        <v>#DIV/0!</v>
      </c>
      <c r="EO25" s="303" t="e">
        <f>Tabla29268[[#This Row],[Columna4]]/4.2</f>
        <v>#DIV/0!</v>
      </c>
      <c r="EP25" s="303" t="e">
        <f>Tabla2926[[#This Row],[Columna16]]</f>
        <v>#DIV/0!</v>
      </c>
      <c r="EQ25" s="303" t="e">
        <f>(Tabla29268[[#This Row],[Columna4]]*EQ$5/$EH$5)*$EP$4</f>
        <v>#DIV/0!</v>
      </c>
      <c r="ER25" s="303" t="e">
        <f>(Tabla29268[[#This Row],[Columna4]]*ER$5/$EH$5)*$EP$4</f>
        <v>#DIV/0!</v>
      </c>
      <c r="ES25" s="303" t="e">
        <f>(Tabla29268[[#This Row],[Columna4]]*ES$5/$EH$5)*$EP$4</f>
        <v>#DIV/0!</v>
      </c>
      <c r="ET25" s="303" t="e">
        <f>(Tabla29268[[#This Row],[Columna4]]*ET$5/$EH$5)*$EP$4</f>
        <v>#DIV/0!</v>
      </c>
      <c r="EU25" s="303" t="e">
        <f>(Tabla29268[[#This Row],[Columna4]]*EU$5/$EH$5)*$EP$4</f>
        <v>#DIV/0!</v>
      </c>
      <c r="EV25" s="303" t="e">
        <f>(Tabla29268[[#This Row],[Columna4]]*EV$5/$EH$5)*$EP$4</f>
        <v>#DIV/0!</v>
      </c>
      <c r="EW25" s="303" t="e">
        <f>(Tabla29268[[#This Row],[Columna4]]*EW$5/$EH$5)*$EP$4</f>
        <v>#DIV/0!</v>
      </c>
      <c r="EX25" s="303" t="e">
        <f>(Tabla29268[[#This Row],[Columna4]]*EX$5/$EH$5)*$EP$4</f>
        <v>#DIV/0!</v>
      </c>
      <c r="EY25" s="303" t="e">
        <f>(Tabla29268[[#This Row],[Columna4]]*EY$5/$EH$5)*$EP$4</f>
        <v>#DIV/0!</v>
      </c>
      <c r="EZ25" s="303" t="e">
        <f>(Tabla29268[[#This Row],[Columna4]]*EZ$5/$EH$5)*$EP$4</f>
        <v>#DIV/0!</v>
      </c>
      <c r="FA25" s="303" t="e">
        <f>(Tabla29268[[#This Row],[Columna4]]*FA$5/$EH$5)*$EP$4</f>
        <v>#DIV/0!</v>
      </c>
      <c r="FB25" s="303" t="e">
        <f>(Tabla29268[[#This Row],[Columna4]]*FB$5/$EH$5)*$EP$4</f>
        <v>#DIV/0!</v>
      </c>
      <c r="FE25" s="357" t="s">
        <v>440</v>
      </c>
      <c r="FF25" s="366" t="e">
        <f>FF177</f>
        <v>#DIV/0!</v>
      </c>
      <c r="FG25" s="366" t="e">
        <f t="shared" ref="FG25:FQ25" si="167">FG177</f>
        <v>#DIV/0!</v>
      </c>
      <c r="FH25" s="366" t="e">
        <f t="shared" si="167"/>
        <v>#DIV/0!</v>
      </c>
      <c r="FI25" s="366" t="e">
        <f t="shared" si="167"/>
        <v>#DIV/0!</v>
      </c>
      <c r="FJ25" s="366" t="e">
        <f t="shared" si="167"/>
        <v>#DIV/0!</v>
      </c>
      <c r="FK25" s="366" t="e">
        <f t="shared" si="167"/>
        <v>#DIV/0!</v>
      </c>
      <c r="FL25" s="366" t="e">
        <f t="shared" si="167"/>
        <v>#DIV/0!</v>
      </c>
      <c r="FM25" s="366" t="e">
        <f t="shared" si="167"/>
        <v>#DIV/0!</v>
      </c>
      <c r="FN25" s="366" t="e">
        <f t="shared" si="167"/>
        <v>#DIV/0!</v>
      </c>
      <c r="FO25" s="366" t="e">
        <f t="shared" si="167"/>
        <v>#DIV/0!</v>
      </c>
      <c r="FP25" s="366" t="e">
        <f t="shared" si="167"/>
        <v>#DIV/0!</v>
      </c>
      <c r="FQ25" s="366" t="e">
        <f t="shared" si="167"/>
        <v>#DIV/0!</v>
      </c>
      <c r="FR25" s="359" t="e">
        <f>SUM(FF25:FQ25)</f>
        <v>#DIV/0!</v>
      </c>
      <c r="FS25" s="260" t="e">
        <f>FR25/$FR$6</f>
        <v>#DIV/0!</v>
      </c>
      <c r="FV25" s="357" t="s">
        <v>440</v>
      </c>
      <c r="FW25" s="366" t="e">
        <f>MAX(FW8*1%,(FW21-FW23)*30%)</f>
        <v>#DIV/0!</v>
      </c>
      <c r="FX25" s="366" t="e">
        <f t="shared" ref="FX25:GH25" si="168">MAX(FX8*1%,(FX21-FX23)*30%)</f>
        <v>#DIV/0!</v>
      </c>
      <c r="FY25" s="366" t="e">
        <f t="shared" si="168"/>
        <v>#DIV/0!</v>
      </c>
      <c r="FZ25" s="366" t="e">
        <f t="shared" si="168"/>
        <v>#DIV/0!</v>
      </c>
      <c r="GA25" s="366" t="e">
        <f t="shared" si="168"/>
        <v>#DIV/0!</v>
      </c>
      <c r="GB25" s="366" t="e">
        <f t="shared" si="168"/>
        <v>#DIV/0!</v>
      </c>
      <c r="GC25" s="366" t="e">
        <f t="shared" si="168"/>
        <v>#DIV/0!</v>
      </c>
      <c r="GD25" s="366" t="e">
        <f t="shared" si="168"/>
        <v>#DIV/0!</v>
      </c>
      <c r="GE25" s="366" t="e">
        <f t="shared" si="168"/>
        <v>#DIV/0!</v>
      </c>
      <c r="GF25" s="366" t="e">
        <f t="shared" si="168"/>
        <v>#DIV/0!</v>
      </c>
      <c r="GG25" s="366" t="e">
        <f t="shared" si="168"/>
        <v>#DIV/0!</v>
      </c>
      <c r="GH25" s="366" t="e">
        <f t="shared" si="168"/>
        <v>#DIV/0!</v>
      </c>
      <c r="GI25" s="309" t="e">
        <f>SUM(FW25:GH25)</f>
        <v>#DIV/0!</v>
      </c>
      <c r="GJ25" s="262" t="e">
        <f>GI25/$GI$6</f>
        <v>#DIV/0!</v>
      </c>
      <c r="GL25" s="250">
        <f t="shared" si="131"/>
        <v>16</v>
      </c>
      <c r="GM25" s="352" t="s">
        <v>468</v>
      </c>
      <c r="GN25" s="353">
        <f t="shared" ref="GN25:GY25" si="169">FF84</f>
        <v>0</v>
      </c>
      <c r="GO25" s="353">
        <f t="shared" si="169"/>
        <v>0</v>
      </c>
      <c r="GP25" s="353">
        <f t="shared" si="169"/>
        <v>0</v>
      </c>
      <c r="GQ25" s="353">
        <f t="shared" si="169"/>
        <v>0</v>
      </c>
      <c r="GR25" s="353">
        <f t="shared" si="169"/>
        <v>0</v>
      </c>
      <c r="GS25" s="353">
        <f t="shared" si="169"/>
        <v>0</v>
      </c>
      <c r="GT25" s="353">
        <f t="shared" si="169"/>
        <v>0</v>
      </c>
      <c r="GU25" s="353">
        <f t="shared" si="169"/>
        <v>0</v>
      </c>
      <c r="GV25" s="353">
        <f t="shared" si="169"/>
        <v>0</v>
      </c>
      <c r="GW25" s="353">
        <f t="shared" si="169"/>
        <v>0</v>
      </c>
      <c r="GX25" s="353">
        <f t="shared" si="169"/>
        <v>0</v>
      </c>
      <c r="GY25" s="353">
        <f t="shared" si="169"/>
        <v>0</v>
      </c>
      <c r="GZ25" s="328">
        <f t="shared" si="125"/>
        <v>0</v>
      </c>
      <c r="HA25" s="329" t="e">
        <f t="shared" si="55"/>
        <v>#DIV/0!</v>
      </c>
      <c r="HB25" s="244" t="b">
        <f>GZ25=FR84</f>
        <v>1</v>
      </c>
      <c r="HD25" s="65" t="s">
        <v>800</v>
      </c>
      <c r="HE25" s="66">
        <v>0</v>
      </c>
      <c r="HF25" s="67">
        <f t="shared" si="77"/>
        <v>0</v>
      </c>
      <c r="HG25" s="68">
        <f t="shared" si="78"/>
        <v>0</v>
      </c>
      <c r="HH25" s="69">
        <v>1</v>
      </c>
      <c r="HI25" s="367">
        <v>0</v>
      </c>
      <c r="HJ25" s="140"/>
      <c r="HK25" s="136">
        <f>HK23/HK21</f>
        <v>0</v>
      </c>
      <c r="HM25" s="330" t="s">
        <v>169</v>
      </c>
      <c r="HN25" s="316"/>
      <c r="HO25" s="354" t="e">
        <f>+HN25/HN9</f>
        <v>#DIV/0!</v>
      </c>
      <c r="HP25" s="316"/>
      <c r="HQ25" s="354" t="e">
        <f t="shared" ref="HQ25" si="170">+HP25/HP9</f>
        <v>#DIV/0!</v>
      </c>
      <c r="HR25" s="316"/>
      <c r="HS25" s="354" t="e">
        <f t="shared" ref="HS25" si="171">+HR25/HR9</f>
        <v>#DIV/0!</v>
      </c>
      <c r="HT25" s="316"/>
      <c r="HU25" s="354" t="e">
        <f t="shared" ref="HU25" si="172">+HT25/HT9</f>
        <v>#DIV/0!</v>
      </c>
      <c r="HV25" s="316"/>
      <c r="HW25" s="354" t="e">
        <f t="shared" ref="HW25" si="173">+HV25/HV9</f>
        <v>#DIV/0!</v>
      </c>
      <c r="HX25" s="316"/>
      <c r="HY25" s="354" t="e">
        <f t="shared" ref="HY25" si="174">+HX25/HX9</f>
        <v>#DIV/0!</v>
      </c>
      <c r="HZ25" s="316"/>
      <c r="IA25" s="354" t="e">
        <f t="shared" ref="IA25" si="175">+HZ25/HZ9</f>
        <v>#DIV/0!</v>
      </c>
      <c r="IB25" s="316"/>
      <c r="IC25" s="354" t="e">
        <f t="shared" ref="IC25" si="176">+IB25/IB9</f>
        <v>#DIV/0!</v>
      </c>
      <c r="ID25" s="316"/>
      <c r="IE25" s="354" t="e">
        <f t="shared" ref="IE25" si="177">+ID25/ID9</f>
        <v>#DIV/0!</v>
      </c>
      <c r="IF25" s="316"/>
      <c r="IG25" s="354" t="e">
        <f t="shared" ref="IG25" si="178">+IF25/IF9</f>
        <v>#DIV/0!</v>
      </c>
      <c r="IH25" s="316"/>
      <c r="II25" s="354" t="e">
        <f t="shared" ref="II25" si="179">+IH25/IH9</f>
        <v>#DIV/0!</v>
      </c>
      <c r="IJ25" s="316"/>
      <c r="IK25" s="354" t="e">
        <f t="shared" ref="IK25" si="180">+IJ25/IJ9</f>
        <v>#DIV/0!</v>
      </c>
      <c r="IL25" s="333">
        <f>HN25+HP25+HR25+HT25+HV25+HX25+HZ25+IB25+ID25+IF25+IH25+IJ25</f>
        <v>0</v>
      </c>
      <c r="IM25" s="332" t="e">
        <f>IL25/$IL$7</f>
        <v>#DIV/0!</v>
      </c>
    </row>
    <row r="26" spans="2:247" ht="14.4" customHeight="1" x14ac:dyDescent="0.3">
      <c r="B26" s="236">
        <f>D26*$D$19</f>
        <v>0</v>
      </c>
      <c r="C26" s="44" t="s">
        <v>614</v>
      </c>
      <c r="D26" s="15">
        <f>$D$24*B21</f>
        <v>0</v>
      </c>
      <c r="E26" s="15">
        <f t="shared" si="165"/>
        <v>0</v>
      </c>
      <c r="F26" s="15">
        <f t="shared" si="166"/>
        <v>0</v>
      </c>
      <c r="I26" s="44" t="s">
        <v>355</v>
      </c>
      <c r="J26" s="48">
        <f>(D37*L16)/D45</f>
        <v>0</v>
      </c>
      <c r="K26" s="13"/>
      <c r="L26" s="13"/>
      <c r="M26" s="13"/>
      <c r="N26" s="13"/>
      <c r="X26" s="335" t="e">
        <f t="shared" ref="X26:X36" si="181">Z26/$Z$37</f>
        <v>#DIV/0!</v>
      </c>
      <c r="Y26" s="336" t="s">
        <v>319</v>
      </c>
      <c r="Z26" s="389">
        <f t="shared" ref="Z26:Z36" si="182">(AG26*$AR$1)+AG26</f>
        <v>0</v>
      </c>
      <c r="AA26" s="299">
        <v>34.936100000000003</v>
      </c>
      <c r="AB26" s="339">
        <f t="shared" ref="AB26:AB36" si="183">(Z26/AA26)*$W$6</f>
        <v>0</v>
      </c>
      <c r="AD26" s="336" t="str">
        <f t="shared" ref="AD26:AD36" si="184">W9</f>
        <v>Mayo</v>
      </c>
      <c r="AE26" s="340">
        <f t="shared" ref="AE26:AE36" si="185">AE25+$AE$24</f>
        <v>1.01</v>
      </c>
      <c r="AG26" s="390">
        <v>0</v>
      </c>
      <c r="AJ26" s="243">
        <f>W6</f>
        <v>1</v>
      </c>
      <c r="AK26" s="393">
        <f>AJ26*AK25/AJ25</f>
        <v>0.35</v>
      </c>
      <c r="AM26" s="368">
        <f t="shared" si="5"/>
        <v>0</v>
      </c>
      <c r="AN26" s="368">
        <f t="shared" si="6"/>
        <v>0</v>
      </c>
      <c r="AO26" s="368">
        <f t="shared" si="7"/>
        <v>0</v>
      </c>
      <c r="AP26" s="368">
        <f t="shared" si="8"/>
        <v>0</v>
      </c>
      <c r="AQ26" s="369" t="s">
        <v>801</v>
      </c>
      <c r="AR26" s="297">
        <f t="shared" si="9"/>
        <v>0</v>
      </c>
      <c r="AS26" s="370" t="e">
        <f t="shared" si="2"/>
        <v>#DIV/0!</v>
      </c>
      <c r="AT26" s="525"/>
      <c r="AU26" s="525"/>
      <c r="AV26" s="299">
        <v>0</v>
      </c>
      <c r="AW26" s="300">
        <v>0</v>
      </c>
      <c r="AX26" s="301"/>
      <c r="AY26" s="302" t="str">
        <f t="shared" si="145"/>
        <v>Agosto</v>
      </c>
      <c r="AZ26" s="385">
        <f>Tabla24[[#Totals],[Columna9]]</f>
        <v>0</v>
      </c>
      <c r="BA26" s="385" t="e">
        <f>Tabla2410[[#Totals],[Columna9]]</f>
        <v>#DIV/0!</v>
      </c>
      <c r="BB26" s="385" t="e">
        <f>Tabla24105[[#Totals],[Columna9]]</f>
        <v>#DIV/0!</v>
      </c>
      <c r="BC26" s="385" t="e">
        <f>Tabla241057[[#Totals],[Columna9]]</f>
        <v>#DIV/0!</v>
      </c>
      <c r="BD26" s="385" t="e">
        <f>Tabla24105711[[#Totals],[Columna9]]</f>
        <v>#DIV/0!</v>
      </c>
      <c r="BE26" s="386" t="e">
        <f t="shared" si="146"/>
        <v>#DIV/0!</v>
      </c>
      <c r="BF26" s="305" t="e">
        <f t="shared" si="147"/>
        <v>#DIV/0!</v>
      </c>
      <c r="BH26" s="525"/>
      <c r="BI26" s="525"/>
      <c r="BJ26" s="370" t="e">
        <f>$AS$24</f>
        <v>#DIV/0!</v>
      </c>
      <c r="BK26" s="242" t="str">
        <f t="shared" si="19"/>
        <v>C19</v>
      </c>
      <c r="BL26" s="303">
        <f t="shared" si="20"/>
        <v>0</v>
      </c>
      <c r="BM26" s="303">
        <f t="shared" si="20"/>
        <v>0</v>
      </c>
      <c r="BN26" s="303">
        <f t="shared" si="20"/>
        <v>0</v>
      </c>
      <c r="BO26" s="303">
        <f t="shared" si="21"/>
        <v>0</v>
      </c>
      <c r="BP26" s="303">
        <f t="shared" si="22"/>
        <v>0</v>
      </c>
      <c r="BQ26" s="303">
        <f t="shared" si="23"/>
        <v>0</v>
      </c>
      <c r="BR26" s="303">
        <f t="shared" si="24"/>
        <v>0</v>
      </c>
      <c r="BS26" s="303">
        <f t="shared" si="25"/>
        <v>0</v>
      </c>
      <c r="BT26" s="303">
        <f t="shared" si="26"/>
        <v>0</v>
      </c>
      <c r="BU26" s="303">
        <f t="shared" si="27"/>
        <v>0</v>
      </c>
      <c r="BV26" s="303">
        <f t="shared" si="28"/>
        <v>0</v>
      </c>
      <c r="BW26" s="303">
        <f t="shared" si="29"/>
        <v>0</v>
      </c>
      <c r="BX26" s="303">
        <f t="shared" si="30"/>
        <v>0</v>
      </c>
      <c r="BY26" s="303">
        <f t="shared" si="31"/>
        <v>0</v>
      </c>
      <c r="BZ26" s="303">
        <f t="shared" si="32"/>
        <v>0</v>
      </c>
      <c r="CB26" s="525"/>
      <c r="CC26" s="525"/>
      <c r="CD26" s="370" t="e">
        <f>$AS$24</f>
        <v>#DIV/0!</v>
      </c>
      <c r="CE26" s="242" t="str">
        <f>Tabla2[[#This Row],[Columna1]]</f>
        <v>C19</v>
      </c>
      <c r="CF26" s="303">
        <f>Tabla29[[#This Row],[Columna3]]/7</f>
        <v>0</v>
      </c>
      <c r="CG26" s="303">
        <f>Tabla29[[#This Row],[Columna4]]/4.2</f>
        <v>0</v>
      </c>
      <c r="CH26" s="303">
        <f>Tabla2[[#This Row],[Columna16]]</f>
        <v>0</v>
      </c>
      <c r="CI26" s="303" t="e">
        <f>(Tabla29[[#This Row],[Columna4]]*CI$5/$BZ$5)*$CH$4</f>
        <v>#DIV/0!</v>
      </c>
      <c r="CJ26" s="303" t="e">
        <f>(Tabla29[[#This Row],[Columna4]]*CJ$5/$BZ$5)*$CH$4</f>
        <v>#DIV/0!</v>
      </c>
      <c r="CK26" s="303" t="e">
        <f>(Tabla29[[#This Row],[Columna4]]*CK$5/$BZ$5)*$CH$4</f>
        <v>#DIV/0!</v>
      </c>
      <c r="CL26" s="303" t="e">
        <f>(Tabla29[[#This Row],[Columna4]]*CL$5/$BZ$5)*$CH$4</f>
        <v>#DIV/0!</v>
      </c>
      <c r="CM26" s="303" t="e">
        <f>(Tabla29[[#This Row],[Columna4]]*CM$5/$BZ$5)*$CH$4</f>
        <v>#DIV/0!</v>
      </c>
      <c r="CN26" s="303" t="e">
        <f>(Tabla29[[#This Row],[Columna4]]*CN$5/$BZ$5)*$CH$4</f>
        <v>#DIV/0!</v>
      </c>
      <c r="CO26" s="303" t="e">
        <f>(Tabla29[[#This Row],[Columna4]]*CO$5/$BZ$5)*$CH$4</f>
        <v>#DIV/0!</v>
      </c>
      <c r="CP26" s="303" t="e">
        <f>(Tabla29[[#This Row],[Columna4]]*CP$5/$BZ$5)*$CH$4</f>
        <v>#DIV/0!</v>
      </c>
      <c r="CQ26" s="303" t="e">
        <f>(Tabla29[[#This Row],[Columna4]]*CQ$5/$BZ$5)*$CH$4</f>
        <v>#DIV/0!</v>
      </c>
      <c r="CR26" s="303" t="e">
        <f>(Tabla29[[#This Row],[Columna4]]*CR$5/$BZ$5)*$CH$4</f>
        <v>#DIV/0!</v>
      </c>
      <c r="CS26" s="303" t="e">
        <f>(Tabla29[[#This Row],[Columna4]]*CS$5/$BZ$5)*$CH$4</f>
        <v>#DIV/0!</v>
      </c>
      <c r="CT26" s="303" t="e">
        <f>(Tabla29[[#This Row],[Columna4]]*CT$5/$BZ$5)*$CH$4</f>
        <v>#DIV/0!</v>
      </c>
      <c r="CV26" s="525"/>
      <c r="CW26" s="525"/>
      <c r="CX26" s="370" t="e">
        <f>$AS$24</f>
        <v>#DIV/0!</v>
      </c>
      <c r="CY26" s="242" t="str">
        <f>Tabla2[[#This Row],[Columna1]]</f>
        <v>C19</v>
      </c>
      <c r="CZ26" s="303" t="e">
        <f>Tabla292[[#This Row],[Columna3]]/7</f>
        <v>#DIV/0!</v>
      </c>
      <c r="DA26" s="303" t="e">
        <f>Tabla292[[#This Row],[Columna4]]/4.2</f>
        <v>#DIV/0!</v>
      </c>
      <c r="DB26" s="303" t="e">
        <f>Tabla29[[#This Row],[Columna16]]</f>
        <v>#DIV/0!</v>
      </c>
      <c r="DC26" s="303" t="e">
        <f>(Tabla292[[#This Row],[Columna4]]*DC$5/$CT$5)*$DB$4</f>
        <v>#DIV/0!</v>
      </c>
      <c r="DD26" s="303" t="e">
        <f>(Tabla292[[#This Row],[Columna4]]*DD$5/$CT$5)*$DB$4</f>
        <v>#DIV/0!</v>
      </c>
      <c r="DE26" s="303" t="e">
        <f>(Tabla292[[#This Row],[Columna4]]*DE$5/$CT$5)*$DB$4</f>
        <v>#DIV/0!</v>
      </c>
      <c r="DF26" s="303" t="e">
        <f>(Tabla292[[#This Row],[Columna4]]*DF$5/$CT$5)*$DB$4</f>
        <v>#DIV/0!</v>
      </c>
      <c r="DG26" s="303" t="e">
        <f>(Tabla292[[#This Row],[Columna4]]*DG$5/$CT$5)*$DB$4</f>
        <v>#DIV/0!</v>
      </c>
      <c r="DH26" s="303" t="e">
        <f>(Tabla292[[#This Row],[Columna4]]*DH$5/$CT$5)*$DB$4</f>
        <v>#DIV/0!</v>
      </c>
      <c r="DI26" s="303" t="e">
        <f>(Tabla292[[#This Row],[Columna4]]*DI$5/$CT$5)*$DB$4</f>
        <v>#DIV/0!</v>
      </c>
      <c r="DJ26" s="303" t="e">
        <f>(Tabla292[[#This Row],[Columna4]]*DJ$5/$CT$5)*$DB$4</f>
        <v>#DIV/0!</v>
      </c>
      <c r="DK26" s="303" t="e">
        <f>(Tabla292[[#This Row],[Columna4]]*DK$5/$CT$5)*$DB$4</f>
        <v>#DIV/0!</v>
      </c>
      <c r="DL26" s="303" t="e">
        <f>(Tabla292[[#This Row],[Columna4]]*DL$5/$CT$5)*$DB$4</f>
        <v>#DIV/0!</v>
      </c>
      <c r="DM26" s="303" t="e">
        <f>(Tabla292[[#This Row],[Columna4]]*DM$5/$CT$5)*$DB$4</f>
        <v>#DIV/0!</v>
      </c>
      <c r="DN26" s="303" t="e">
        <f>(Tabla292[[#This Row],[Columna4]]*DN$5/$CT$5)*$DB$4</f>
        <v>#DIV/0!</v>
      </c>
      <c r="DP26" s="525"/>
      <c r="DQ26" s="525"/>
      <c r="DR26" s="370" t="e">
        <f>$AS$24</f>
        <v>#DIV/0!</v>
      </c>
      <c r="DS26" s="242" t="str">
        <f>Tabla2[[#This Row],[Columna1]]</f>
        <v>C19</v>
      </c>
      <c r="DT26" s="303" t="e">
        <f>Tabla2926[[#This Row],[Columna3]]/7</f>
        <v>#DIV/0!</v>
      </c>
      <c r="DU26" s="303" t="e">
        <f>Tabla2926[[#This Row],[Columna4]]/4.2</f>
        <v>#DIV/0!</v>
      </c>
      <c r="DV26" s="303" t="e">
        <f>Tabla292[[#This Row],[Columna16]]</f>
        <v>#DIV/0!</v>
      </c>
      <c r="DW26" s="303" t="e">
        <f>(Tabla2926[[#This Row],[Columna4]]*DW$5/$DN$5)*$DV$4</f>
        <v>#DIV/0!</v>
      </c>
      <c r="DX26" s="303" t="e">
        <f>(Tabla2926[[#This Row],[Columna4]]*DX$5/$DN$5)*$DV$4</f>
        <v>#DIV/0!</v>
      </c>
      <c r="DY26" s="303" t="e">
        <f>(Tabla2926[[#This Row],[Columna4]]*DY$5/$DN$5)*$DV$4</f>
        <v>#DIV/0!</v>
      </c>
      <c r="DZ26" s="303" t="e">
        <f>(Tabla2926[[#This Row],[Columna4]]*DZ$5/$DN$5)*$DV$4</f>
        <v>#DIV/0!</v>
      </c>
      <c r="EA26" s="303" t="e">
        <f>(Tabla2926[[#This Row],[Columna4]]*EA$5/$DN$5)*$DV$4</f>
        <v>#DIV/0!</v>
      </c>
      <c r="EB26" s="303" t="e">
        <f>(Tabla2926[[#This Row],[Columna4]]*EB$5/$DN$5)*$DV$4</f>
        <v>#DIV/0!</v>
      </c>
      <c r="EC26" s="303" t="e">
        <f>(Tabla2926[[#This Row],[Columna4]]*EC$5/$DN$5)*$DV$4</f>
        <v>#DIV/0!</v>
      </c>
      <c r="ED26" s="303" t="e">
        <f>(Tabla2926[[#This Row],[Columna4]]*ED$5/$DN$5)*$DV$4</f>
        <v>#DIV/0!</v>
      </c>
      <c r="EE26" s="303" t="e">
        <f>(Tabla2926[[#This Row],[Columna4]]*EE$5/$DN$5)*$DV$4</f>
        <v>#DIV/0!</v>
      </c>
      <c r="EF26" s="303" t="e">
        <f>(Tabla2926[[#This Row],[Columna4]]*EF$5/$DN$5)*$DV$4</f>
        <v>#DIV/0!</v>
      </c>
      <c r="EG26" s="303" t="e">
        <f>(Tabla2926[[#This Row],[Columna4]]*EG$5/$DN$5)*$DV$4</f>
        <v>#DIV/0!</v>
      </c>
      <c r="EH26" s="303" t="e">
        <f>(Tabla2926[[#This Row],[Columna4]]*EH$5/$DN$5)*$DV$4</f>
        <v>#DIV/0!</v>
      </c>
      <c r="EJ26" s="525"/>
      <c r="EK26" s="525"/>
      <c r="EL26" s="370" t="e">
        <f>$AS$24</f>
        <v>#DIV/0!</v>
      </c>
      <c r="EM26" s="242" t="str">
        <f>Tabla2[[#This Row],[Columna1]]</f>
        <v>C19</v>
      </c>
      <c r="EN26" s="303" t="e">
        <f>Tabla29268[[#This Row],[Columna3]]/7</f>
        <v>#DIV/0!</v>
      </c>
      <c r="EO26" s="303" t="e">
        <f>Tabla29268[[#This Row],[Columna4]]/4.2</f>
        <v>#DIV/0!</v>
      </c>
      <c r="EP26" s="303" t="e">
        <f>Tabla2926[[#This Row],[Columna16]]</f>
        <v>#DIV/0!</v>
      </c>
      <c r="EQ26" s="303" t="e">
        <f>(Tabla29268[[#This Row],[Columna4]]*EQ$5/$EH$5)*$EP$4</f>
        <v>#DIV/0!</v>
      </c>
      <c r="ER26" s="303" t="e">
        <f>(Tabla29268[[#This Row],[Columna4]]*ER$5/$EH$5)*$EP$4</f>
        <v>#DIV/0!</v>
      </c>
      <c r="ES26" s="303" t="e">
        <f>(Tabla29268[[#This Row],[Columna4]]*ES$5/$EH$5)*$EP$4</f>
        <v>#DIV/0!</v>
      </c>
      <c r="ET26" s="303" t="e">
        <f>(Tabla29268[[#This Row],[Columna4]]*ET$5/$EH$5)*$EP$4</f>
        <v>#DIV/0!</v>
      </c>
      <c r="EU26" s="303" t="e">
        <f>(Tabla29268[[#This Row],[Columna4]]*EU$5/$EH$5)*$EP$4</f>
        <v>#DIV/0!</v>
      </c>
      <c r="EV26" s="303" t="e">
        <f>(Tabla29268[[#This Row],[Columna4]]*EV$5/$EH$5)*$EP$4</f>
        <v>#DIV/0!</v>
      </c>
      <c r="EW26" s="303" t="e">
        <f>(Tabla29268[[#This Row],[Columna4]]*EW$5/$EH$5)*$EP$4</f>
        <v>#DIV/0!</v>
      </c>
      <c r="EX26" s="303" t="e">
        <f>(Tabla29268[[#This Row],[Columna4]]*EX$5/$EH$5)*$EP$4</f>
        <v>#DIV/0!</v>
      </c>
      <c r="EY26" s="303" t="e">
        <f>(Tabla29268[[#This Row],[Columna4]]*EY$5/$EH$5)*$EP$4</f>
        <v>#DIV/0!</v>
      </c>
      <c r="EZ26" s="303" t="e">
        <f>(Tabla29268[[#This Row],[Columna4]]*EZ$5/$EH$5)*$EP$4</f>
        <v>#DIV/0!</v>
      </c>
      <c r="FA26" s="303" t="e">
        <f>(Tabla29268[[#This Row],[Columna4]]*FA$5/$EH$5)*$EP$4</f>
        <v>#DIV/0!</v>
      </c>
      <c r="FB26" s="303" t="e">
        <f>(Tabla29268[[#This Row],[Columna4]]*FB$5/$EH$5)*$EP$4</f>
        <v>#DIV/0!</v>
      </c>
      <c r="FE26" s="362"/>
      <c r="FF26" s="362"/>
      <c r="FG26" s="362"/>
      <c r="FH26" s="362"/>
      <c r="FI26" s="362"/>
      <c r="FJ26" s="362"/>
      <c r="FK26" s="362"/>
      <c r="FL26" s="362"/>
      <c r="FM26" s="362"/>
      <c r="FN26" s="362"/>
      <c r="FO26" s="362"/>
      <c r="FP26" s="362"/>
      <c r="FQ26" s="362"/>
      <c r="FR26" s="362"/>
      <c r="FS26" s="362"/>
      <c r="FV26" s="362"/>
      <c r="FW26" s="362"/>
      <c r="FX26" s="362"/>
      <c r="FY26" s="362"/>
      <c r="FZ26" s="362"/>
      <c r="GA26" s="362"/>
      <c r="GB26" s="362"/>
      <c r="GC26" s="362"/>
      <c r="GD26" s="362"/>
      <c r="GE26" s="362"/>
      <c r="GF26" s="362"/>
      <c r="GG26" s="362"/>
      <c r="GH26" s="362"/>
      <c r="GI26" s="362"/>
      <c r="GJ26" s="387"/>
      <c r="GL26" s="250">
        <f t="shared" si="131"/>
        <v>17</v>
      </c>
      <c r="GM26" s="352" t="s">
        <v>469</v>
      </c>
      <c r="GN26" s="353">
        <f t="shared" ref="GN26:GY26" si="186">FF92</f>
        <v>0</v>
      </c>
      <c r="GO26" s="353">
        <f t="shared" si="186"/>
        <v>0</v>
      </c>
      <c r="GP26" s="353">
        <f t="shared" si="186"/>
        <v>0</v>
      </c>
      <c r="GQ26" s="353">
        <f t="shared" si="186"/>
        <v>0</v>
      </c>
      <c r="GR26" s="353">
        <f t="shared" si="186"/>
        <v>0</v>
      </c>
      <c r="GS26" s="353">
        <f t="shared" si="186"/>
        <v>0</v>
      </c>
      <c r="GT26" s="353">
        <f t="shared" si="186"/>
        <v>0</v>
      </c>
      <c r="GU26" s="353">
        <f t="shared" si="186"/>
        <v>0</v>
      </c>
      <c r="GV26" s="353">
        <f t="shared" si="186"/>
        <v>0</v>
      </c>
      <c r="GW26" s="353">
        <f t="shared" si="186"/>
        <v>0</v>
      </c>
      <c r="GX26" s="353">
        <f t="shared" si="186"/>
        <v>0</v>
      </c>
      <c r="GY26" s="353">
        <f t="shared" si="186"/>
        <v>0</v>
      </c>
      <c r="GZ26" s="328">
        <f t="shared" si="125"/>
        <v>0</v>
      </c>
      <c r="HA26" s="329" t="e">
        <f t="shared" si="55"/>
        <v>#DIV/0!</v>
      </c>
      <c r="HB26" s="244" t="b">
        <f>GZ26=FR92</f>
        <v>1</v>
      </c>
      <c r="HD26" s="65" t="s">
        <v>802</v>
      </c>
      <c r="HE26" s="66">
        <v>0</v>
      </c>
      <c r="HF26" s="67">
        <f t="shared" si="77"/>
        <v>0</v>
      </c>
      <c r="HG26" s="68">
        <f t="shared" si="78"/>
        <v>0</v>
      </c>
      <c r="HH26" s="69">
        <v>1</v>
      </c>
      <c r="HI26" s="367">
        <v>0</v>
      </c>
      <c r="HJ26" s="140"/>
      <c r="HM26" s="287"/>
      <c r="HN26" s="316"/>
      <c r="HO26" s="285"/>
      <c r="HP26" s="316"/>
      <c r="HQ26" s="285"/>
      <c r="HR26" s="316"/>
      <c r="HS26" s="285"/>
      <c r="HT26" s="316"/>
      <c r="HU26" s="285"/>
      <c r="HV26" s="316"/>
      <c r="HW26" s="285"/>
      <c r="HX26" s="316"/>
      <c r="HY26" s="285"/>
      <c r="HZ26" s="316"/>
      <c r="IA26" s="285"/>
      <c r="IB26" s="316"/>
      <c r="IC26" s="285"/>
      <c r="ID26" s="316"/>
      <c r="IE26" s="285"/>
      <c r="IF26" s="316"/>
      <c r="IG26" s="285"/>
      <c r="IH26" s="316"/>
      <c r="II26" s="285"/>
      <c r="IJ26" s="316"/>
      <c r="IK26" s="285"/>
      <c r="IL26" s="288"/>
      <c r="IM26" s="285"/>
    </row>
    <row r="27" spans="2:247" ht="14.4" customHeight="1" x14ac:dyDescent="0.3">
      <c r="B27" s="236">
        <f>D27*$D$19</f>
        <v>0</v>
      </c>
      <c r="C27" s="44" t="s">
        <v>615</v>
      </c>
      <c r="D27" s="15">
        <f>$D$24*B22</f>
        <v>0</v>
      </c>
      <c r="E27" s="15">
        <f t="shared" si="165"/>
        <v>0</v>
      </c>
      <c r="F27" s="15">
        <f t="shared" si="166"/>
        <v>0</v>
      </c>
      <c r="G27" s="112"/>
      <c r="I27" s="44" t="s">
        <v>356</v>
      </c>
      <c r="J27" s="48" t="s">
        <v>357</v>
      </c>
      <c r="K27" s="13"/>
      <c r="L27" s="13"/>
      <c r="M27" s="13"/>
      <c r="X27" s="335" t="e">
        <f t="shared" si="181"/>
        <v>#DIV/0!</v>
      </c>
      <c r="Y27" s="336" t="s">
        <v>322</v>
      </c>
      <c r="Z27" s="389">
        <f t="shared" si="182"/>
        <v>0</v>
      </c>
      <c r="AA27" s="299">
        <v>34.994900000000001</v>
      </c>
      <c r="AB27" s="339">
        <f t="shared" si="183"/>
        <v>0</v>
      </c>
      <c r="AD27" s="336" t="str">
        <f t="shared" si="184"/>
        <v>Junio</v>
      </c>
      <c r="AE27" s="340">
        <f t="shared" si="185"/>
        <v>1.46</v>
      </c>
      <c r="AG27" s="390">
        <v>0</v>
      </c>
      <c r="AM27" s="394">
        <f t="shared" si="5"/>
        <v>0</v>
      </c>
      <c r="AN27" s="394">
        <f t="shared" si="6"/>
        <v>0</v>
      </c>
      <c r="AO27" s="394">
        <f t="shared" si="7"/>
        <v>0</v>
      </c>
      <c r="AP27" s="394">
        <f t="shared" si="8"/>
        <v>0</v>
      </c>
      <c r="AQ27" s="395" t="s">
        <v>803</v>
      </c>
      <c r="AR27" s="297">
        <f t="shared" si="9"/>
        <v>0</v>
      </c>
      <c r="AS27" s="396" t="e">
        <f t="shared" si="2"/>
        <v>#DIV/0!</v>
      </c>
      <c r="AT27" s="531" t="e">
        <f>SUM(AS27:AS39)</f>
        <v>#DIV/0!</v>
      </c>
      <c r="AU27" s="531" t="s">
        <v>321</v>
      </c>
      <c r="AV27" s="299">
        <v>0</v>
      </c>
      <c r="AW27" s="300">
        <v>0</v>
      </c>
      <c r="AX27" s="301"/>
      <c r="AY27" s="302" t="str">
        <f t="shared" si="145"/>
        <v>Septiembre</v>
      </c>
      <c r="AZ27" s="385">
        <f>Tabla24[[#Totals],[Columna10]]</f>
        <v>0</v>
      </c>
      <c r="BA27" s="385" t="e">
        <f>Tabla2410[[#Totals],[Columna10]]</f>
        <v>#DIV/0!</v>
      </c>
      <c r="BB27" s="385" t="e">
        <f>Tabla24105[[#Totals],[Columna10]]</f>
        <v>#DIV/0!</v>
      </c>
      <c r="BC27" s="385" t="e">
        <f>Tabla241057[[#Totals],[Columna10]]</f>
        <v>#DIV/0!</v>
      </c>
      <c r="BD27" s="385" t="e">
        <f>Tabla24105711[[#Totals],[Columna10]]</f>
        <v>#DIV/0!</v>
      </c>
      <c r="BE27" s="386" t="e">
        <f t="shared" si="146"/>
        <v>#DIV/0!</v>
      </c>
      <c r="BF27" s="305" t="e">
        <f t="shared" si="147"/>
        <v>#DIV/0!</v>
      </c>
      <c r="BH27" s="525"/>
      <c r="BI27" s="525"/>
      <c r="BJ27" s="370" t="e">
        <f>$AS$25</f>
        <v>#DIV/0!</v>
      </c>
      <c r="BK27" s="242" t="str">
        <f t="shared" si="19"/>
        <v>C20</v>
      </c>
      <c r="BL27" s="303">
        <f t="shared" si="20"/>
        <v>0</v>
      </c>
      <c r="BM27" s="303">
        <f t="shared" si="20"/>
        <v>0</v>
      </c>
      <c r="BN27" s="303">
        <f t="shared" si="20"/>
        <v>0</v>
      </c>
      <c r="BO27" s="303">
        <f t="shared" si="21"/>
        <v>0</v>
      </c>
      <c r="BP27" s="303">
        <f t="shared" si="22"/>
        <v>0</v>
      </c>
      <c r="BQ27" s="303">
        <f t="shared" si="23"/>
        <v>0</v>
      </c>
      <c r="BR27" s="303">
        <f t="shared" si="24"/>
        <v>0</v>
      </c>
      <c r="BS27" s="303">
        <f t="shared" si="25"/>
        <v>0</v>
      </c>
      <c r="BT27" s="303">
        <f t="shared" si="26"/>
        <v>0</v>
      </c>
      <c r="BU27" s="303">
        <f t="shared" si="27"/>
        <v>0</v>
      </c>
      <c r="BV27" s="303">
        <f t="shared" si="28"/>
        <v>0</v>
      </c>
      <c r="BW27" s="303">
        <f t="shared" si="29"/>
        <v>0</v>
      </c>
      <c r="BX27" s="303">
        <f t="shared" si="30"/>
        <v>0</v>
      </c>
      <c r="BY27" s="303">
        <f t="shared" si="31"/>
        <v>0</v>
      </c>
      <c r="BZ27" s="303">
        <f t="shared" si="32"/>
        <v>0</v>
      </c>
      <c r="CB27" s="525"/>
      <c r="CC27" s="525"/>
      <c r="CD27" s="370" t="e">
        <f>$AS$25</f>
        <v>#DIV/0!</v>
      </c>
      <c r="CE27" s="242" t="str">
        <f>Tabla2[[#This Row],[Columna1]]</f>
        <v>C20</v>
      </c>
      <c r="CF27" s="303">
        <f>Tabla29[[#This Row],[Columna3]]/7</f>
        <v>0</v>
      </c>
      <c r="CG27" s="303">
        <f>Tabla29[[#This Row],[Columna4]]/4.2</f>
        <v>0</v>
      </c>
      <c r="CH27" s="303">
        <f>Tabla2[[#This Row],[Columna16]]</f>
        <v>0</v>
      </c>
      <c r="CI27" s="303" t="e">
        <f>(Tabla29[[#This Row],[Columna4]]*CI$5/$BZ$5)*$CH$4</f>
        <v>#DIV/0!</v>
      </c>
      <c r="CJ27" s="303" t="e">
        <f>(Tabla29[[#This Row],[Columna4]]*CJ$5/$BZ$5)*$CH$4</f>
        <v>#DIV/0!</v>
      </c>
      <c r="CK27" s="303" t="e">
        <f>(Tabla29[[#This Row],[Columna4]]*CK$5/$BZ$5)*$CH$4</f>
        <v>#DIV/0!</v>
      </c>
      <c r="CL27" s="303" t="e">
        <f>(Tabla29[[#This Row],[Columna4]]*CL$5/$BZ$5)*$CH$4</f>
        <v>#DIV/0!</v>
      </c>
      <c r="CM27" s="303" t="e">
        <f>(Tabla29[[#This Row],[Columna4]]*CM$5/$BZ$5)*$CH$4</f>
        <v>#DIV/0!</v>
      </c>
      <c r="CN27" s="303" t="e">
        <f>(Tabla29[[#This Row],[Columna4]]*CN$5/$BZ$5)*$CH$4</f>
        <v>#DIV/0!</v>
      </c>
      <c r="CO27" s="303" t="e">
        <f>(Tabla29[[#This Row],[Columna4]]*CO$5/$BZ$5)*$CH$4</f>
        <v>#DIV/0!</v>
      </c>
      <c r="CP27" s="303" t="e">
        <f>(Tabla29[[#This Row],[Columna4]]*CP$5/$BZ$5)*$CH$4</f>
        <v>#DIV/0!</v>
      </c>
      <c r="CQ27" s="303" t="e">
        <f>(Tabla29[[#This Row],[Columna4]]*CQ$5/$BZ$5)*$CH$4</f>
        <v>#DIV/0!</v>
      </c>
      <c r="CR27" s="303" t="e">
        <f>(Tabla29[[#This Row],[Columna4]]*CR$5/$BZ$5)*$CH$4</f>
        <v>#DIV/0!</v>
      </c>
      <c r="CS27" s="303" t="e">
        <f>(Tabla29[[#This Row],[Columna4]]*CS$5/$BZ$5)*$CH$4</f>
        <v>#DIV/0!</v>
      </c>
      <c r="CT27" s="303" t="e">
        <f>(Tabla29[[#This Row],[Columna4]]*CT$5/$BZ$5)*$CH$4</f>
        <v>#DIV/0!</v>
      </c>
      <c r="CV27" s="525"/>
      <c r="CW27" s="525"/>
      <c r="CX27" s="370" t="e">
        <f>$AS$25</f>
        <v>#DIV/0!</v>
      </c>
      <c r="CY27" s="242" t="str">
        <f>Tabla2[[#This Row],[Columna1]]</f>
        <v>C20</v>
      </c>
      <c r="CZ27" s="303" t="e">
        <f>Tabla292[[#This Row],[Columna3]]/7</f>
        <v>#DIV/0!</v>
      </c>
      <c r="DA27" s="303" t="e">
        <f>Tabla292[[#This Row],[Columna4]]/4.2</f>
        <v>#DIV/0!</v>
      </c>
      <c r="DB27" s="303" t="e">
        <f>Tabla29[[#This Row],[Columna16]]</f>
        <v>#DIV/0!</v>
      </c>
      <c r="DC27" s="303" t="e">
        <f>(Tabla292[[#This Row],[Columna4]]*DC$5/$CT$5)*$DB$4</f>
        <v>#DIV/0!</v>
      </c>
      <c r="DD27" s="303" t="e">
        <f>(Tabla292[[#This Row],[Columna4]]*DD$5/$CT$5)*$DB$4</f>
        <v>#DIV/0!</v>
      </c>
      <c r="DE27" s="303" t="e">
        <f>(Tabla292[[#This Row],[Columna4]]*DE$5/$CT$5)*$DB$4</f>
        <v>#DIV/0!</v>
      </c>
      <c r="DF27" s="303" t="e">
        <f>(Tabla292[[#This Row],[Columna4]]*DF$5/$CT$5)*$DB$4</f>
        <v>#DIV/0!</v>
      </c>
      <c r="DG27" s="303" t="e">
        <f>(Tabla292[[#This Row],[Columna4]]*DG$5/$CT$5)*$DB$4</f>
        <v>#DIV/0!</v>
      </c>
      <c r="DH27" s="303" t="e">
        <f>(Tabla292[[#This Row],[Columna4]]*DH$5/$CT$5)*$DB$4</f>
        <v>#DIV/0!</v>
      </c>
      <c r="DI27" s="303" t="e">
        <f>(Tabla292[[#This Row],[Columna4]]*DI$5/$CT$5)*$DB$4</f>
        <v>#DIV/0!</v>
      </c>
      <c r="DJ27" s="303" t="e">
        <f>(Tabla292[[#This Row],[Columna4]]*DJ$5/$CT$5)*$DB$4</f>
        <v>#DIV/0!</v>
      </c>
      <c r="DK27" s="303" t="e">
        <f>(Tabla292[[#This Row],[Columna4]]*DK$5/$CT$5)*$DB$4</f>
        <v>#DIV/0!</v>
      </c>
      <c r="DL27" s="303" t="e">
        <f>(Tabla292[[#This Row],[Columna4]]*DL$5/$CT$5)*$DB$4</f>
        <v>#DIV/0!</v>
      </c>
      <c r="DM27" s="303" t="e">
        <f>(Tabla292[[#This Row],[Columna4]]*DM$5/$CT$5)*$DB$4</f>
        <v>#DIV/0!</v>
      </c>
      <c r="DN27" s="303" t="e">
        <f>(Tabla292[[#This Row],[Columna4]]*DN$5/$CT$5)*$DB$4</f>
        <v>#DIV/0!</v>
      </c>
      <c r="DP27" s="525"/>
      <c r="DQ27" s="525"/>
      <c r="DR27" s="370" t="e">
        <f>$AS$25</f>
        <v>#DIV/0!</v>
      </c>
      <c r="DS27" s="242" t="str">
        <f>Tabla2[[#This Row],[Columna1]]</f>
        <v>C20</v>
      </c>
      <c r="DT27" s="303" t="e">
        <f>Tabla2926[[#This Row],[Columna3]]/7</f>
        <v>#DIV/0!</v>
      </c>
      <c r="DU27" s="303" t="e">
        <f>Tabla2926[[#This Row],[Columna4]]/4.2</f>
        <v>#DIV/0!</v>
      </c>
      <c r="DV27" s="303" t="e">
        <f>Tabla292[[#This Row],[Columna16]]</f>
        <v>#DIV/0!</v>
      </c>
      <c r="DW27" s="303" t="e">
        <f>(Tabla2926[[#This Row],[Columna4]]*DW$5/$DN$5)*$DV$4</f>
        <v>#DIV/0!</v>
      </c>
      <c r="DX27" s="303" t="e">
        <f>(Tabla2926[[#This Row],[Columna4]]*DX$5/$DN$5)*$DV$4</f>
        <v>#DIV/0!</v>
      </c>
      <c r="DY27" s="303" t="e">
        <f>(Tabla2926[[#This Row],[Columna4]]*DY$5/$DN$5)*$DV$4</f>
        <v>#DIV/0!</v>
      </c>
      <c r="DZ27" s="303" t="e">
        <f>(Tabla2926[[#This Row],[Columna4]]*DZ$5/$DN$5)*$DV$4</f>
        <v>#DIV/0!</v>
      </c>
      <c r="EA27" s="303" t="e">
        <f>(Tabla2926[[#This Row],[Columna4]]*EA$5/$DN$5)*$DV$4</f>
        <v>#DIV/0!</v>
      </c>
      <c r="EB27" s="303" t="e">
        <f>(Tabla2926[[#This Row],[Columna4]]*EB$5/$DN$5)*$DV$4</f>
        <v>#DIV/0!</v>
      </c>
      <c r="EC27" s="303" t="e">
        <f>(Tabla2926[[#This Row],[Columna4]]*EC$5/$DN$5)*$DV$4</f>
        <v>#DIV/0!</v>
      </c>
      <c r="ED27" s="303" t="e">
        <f>(Tabla2926[[#This Row],[Columna4]]*ED$5/$DN$5)*$DV$4</f>
        <v>#DIV/0!</v>
      </c>
      <c r="EE27" s="303" t="e">
        <f>(Tabla2926[[#This Row],[Columna4]]*EE$5/$DN$5)*$DV$4</f>
        <v>#DIV/0!</v>
      </c>
      <c r="EF27" s="303" t="e">
        <f>(Tabla2926[[#This Row],[Columna4]]*EF$5/$DN$5)*$DV$4</f>
        <v>#DIV/0!</v>
      </c>
      <c r="EG27" s="303" t="e">
        <f>(Tabla2926[[#This Row],[Columna4]]*EG$5/$DN$5)*$DV$4</f>
        <v>#DIV/0!</v>
      </c>
      <c r="EH27" s="303" t="e">
        <f>(Tabla2926[[#This Row],[Columna4]]*EH$5/$DN$5)*$DV$4</f>
        <v>#DIV/0!</v>
      </c>
      <c r="EJ27" s="525"/>
      <c r="EK27" s="525"/>
      <c r="EL27" s="370" t="e">
        <f>$AS$25</f>
        <v>#DIV/0!</v>
      </c>
      <c r="EM27" s="242" t="str">
        <f>Tabla2[[#This Row],[Columna1]]</f>
        <v>C20</v>
      </c>
      <c r="EN27" s="303" t="e">
        <f>Tabla29268[[#This Row],[Columna3]]/7</f>
        <v>#DIV/0!</v>
      </c>
      <c r="EO27" s="303" t="e">
        <f>Tabla29268[[#This Row],[Columna4]]/4.2</f>
        <v>#DIV/0!</v>
      </c>
      <c r="EP27" s="303" t="e">
        <f>Tabla2926[[#This Row],[Columna16]]</f>
        <v>#DIV/0!</v>
      </c>
      <c r="EQ27" s="303" t="e">
        <f>(Tabla29268[[#This Row],[Columna4]]*EQ$5/$EH$5)*$EP$4</f>
        <v>#DIV/0!</v>
      </c>
      <c r="ER27" s="303" t="e">
        <f>(Tabla29268[[#This Row],[Columna4]]*ER$5/$EH$5)*$EP$4</f>
        <v>#DIV/0!</v>
      </c>
      <c r="ES27" s="303" t="e">
        <f>(Tabla29268[[#This Row],[Columna4]]*ES$5/$EH$5)*$EP$4</f>
        <v>#DIV/0!</v>
      </c>
      <c r="ET27" s="303" t="e">
        <f>(Tabla29268[[#This Row],[Columna4]]*ET$5/$EH$5)*$EP$4</f>
        <v>#DIV/0!</v>
      </c>
      <c r="EU27" s="303" t="e">
        <f>(Tabla29268[[#This Row],[Columna4]]*EU$5/$EH$5)*$EP$4</f>
        <v>#DIV/0!</v>
      </c>
      <c r="EV27" s="303" t="e">
        <f>(Tabla29268[[#This Row],[Columna4]]*EV$5/$EH$5)*$EP$4</f>
        <v>#DIV/0!</v>
      </c>
      <c r="EW27" s="303" t="e">
        <f>(Tabla29268[[#This Row],[Columna4]]*EW$5/$EH$5)*$EP$4</f>
        <v>#DIV/0!</v>
      </c>
      <c r="EX27" s="303" t="e">
        <f>(Tabla29268[[#This Row],[Columna4]]*EX$5/$EH$5)*$EP$4</f>
        <v>#DIV/0!</v>
      </c>
      <c r="EY27" s="303" t="e">
        <f>(Tabla29268[[#This Row],[Columna4]]*EY$5/$EH$5)*$EP$4</f>
        <v>#DIV/0!</v>
      </c>
      <c r="EZ27" s="303" t="e">
        <f>(Tabla29268[[#This Row],[Columna4]]*EZ$5/$EH$5)*$EP$4</f>
        <v>#DIV/0!</v>
      </c>
      <c r="FA27" s="303" t="e">
        <f>(Tabla29268[[#This Row],[Columna4]]*FA$5/$EH$5)*$EP$4</f>
        <v>#DIV/0!</v>
      </c>
      <c r="FB27" s="303" t="e">
        <f>(Tabla29268[[#This Row],[Columna4]]*FB$5/$EH$5)*$EP$4</f>
        <v>#DIV/0!</v>
      </c>
      <c r="FE27" s="357" t="s">
        <v>441</v>
      </c>
      <c r="FF27" s="358" t="e">
        <f>FF179</f>
        <v>#DIV/0!</v>
      </c>
      <c r="FG27" s="358" t="e">
        <f t="shared" ref="FG27:FQ27" si="187">FG179</f>
        <v>#DIV/0!</v>
      </c>
      <c r="FH27" s="358" t="e">
        <f t="shared" si="187"/>
        <v>#DIV/0!</v>
      </c>
      <c r="FI27" s="358" t="e">
        <f t="shared" si="187"/>
        <v>#DIV/0!</v>
      </c>
      <c r="FJ27" s="358" t="e">
        <f t="shared" si="187"/>
        <v>#DIV/0!</v>
      </c>
      <c r="FK27" s="358" t="e">
        <f t="shared" si="187"/>
        <v>#DIV/0!</v>
      </c>
      <c r="FL27" s="358" t="e">
        <f t="shared" si="187"/>
        <v>#DIV/0!</v>
      </c>
      <c r="FM27" s="358" t="e">
        <f t="shared" si="187"/>
        <v>#DIV/0!</v>
      </c>
      <c r="FN27" s="358" t="e">
        <f t="shared" si="187"/>
        <v>#DIV/0!</v>
      </c>
      <c r="FO27" s="358" t="e">
        <f t="shared" si="187"/>
        <v>#DIV/0!</v>
      </c>
      <c r="FP27" s="358" t="e">
        <f t="shared" si="187"/>
        <v>#DIV/0!</v>
      </c>
      <c r="FQ27" s="358" t="e">
        <f t="shared" si="187"/>
        <v>#DIV/0!</v>
      </c>
      <c r="FR27" s="359" t="e">
        <f>SUM(FF27:FQ27)</f>
        <v>#DIV/0!</v>
      </c>
      <c r="FS27" s="260" t="e">
        <f>FR27/$FR$6</f>
        <v>#DIV/0!</v>
      </c>
      <c r="FV27" s="357" t="s">
        <v>441</v>
      </c>
      <c r="FW27" s="358" t="e">
        <f>FW21-FW23-FW25</f>
        <v>#DIV/0!</v>
      </c>
      <c r="FX27" s="358" t="e">
        <f t="shared" ref="FX27:GH27" si="188">FX21-FX23-FX25</f>
        <v>#DIV/0!</v>
      </c>
      <c r="FY27" s="358" t="e">
        <f t="shared" si="188"/>
        <v>#DIV/0!</v>
      </c>
      <c r="FZ27" s="358" t="e">
        <f t="shared" si="188"/>
        <v>#DIV/0!</v>
      </c>
      <c r="GA27" s="358" t="e">
        <f t="shared" si="188"/>
        <v>#DIV/0!</v>
      </c>
      <c r="GB27" s="358" t="e">
        <f t="shared" si="188"/>
        <v>#DIV/0!</v>
      </c>
      <c r="GC27" s="358" t="e">
        <f t="shared" si="188"/>
        <v>#DIV/0!</v>
      </c>
      <c r="GD27" s="358" t="e">
        <f t="shared" si="188"/>
        <v>#DIV/0!</v>
      </c>
      <c r="GE27" s="358" t="e">
        <f t="shared" si="188"/>
        <v>#DIV/0!</v>
      </c>
      <c r="GF27" s="358" t="e">
        <f t="shared" si="188"/>
        <v>#DIV/0!</v>
      </c>
      <c r="GG27" s="358" t="e">
        <f t="shared" si="188"/>
        <v>#DIV/0!</v>
      </c>
      <c r="GH27" s="358" t="e">
        <f t="shared" si="188"/>
        <v>#DIV/0!</v>
      </c>
      <c r="GI27" s="309" t="e">
        <f>SUM(FW27:GH27)</f>
        <v>#DIV/0!</v>
      </c>
      <c r="GJ27" s="262" t="e">
        <f>GI27/$GI$6</f>
        <v>#DIV/0!</v>
      </c>
      <c r="GL27" s="250">
        <f t="shared" si="131"/>
        <v>18</v>
      </c>
      <c r="GM27" s="352" t="s">
        <v>470</v>
      </c>
      <c r="GN27" s="353">
        <f t="shared" ref="GN27:GY27" si="189">FF98</f>
        <v>0</v>
      </c>
      <c r="GO27" s="353">
        <f t="shared" si="189"/>
        <v>0</v>
      </c>
      <c r="GP27" s="353">
        <f t="shared" si="189"/>
        <v>0</v>
      </c>
      <c r="GQ27" s="353">
        <f t="shared" si="189"/>
        <v>0</v>
      </c>
      <c r="GR27" s="353">
        <f t="shared" si="189"/>
        <v>0</v>
      </c>
      <c r="GS27" s="353">
        <f t="shared" si="189"/>
        <v>0</v>
      </c>
      <c r="GT27" s="353">
        <f t="shared" si="189"/>
        <v>0</v>
      </c>
      <c r="GU27" s="353">
        <f t="shared" si="189"/>
        <v>0</v>
      </c>
      <c r="GV27" s="353">
        <f t="shared" si="189"/>
        <v>0</v>
      </c>
      <c r="GW27" s="353">
        <f t="shared" si="189"/>
        <v>0</v>
      </c>
      <c r="GX27" s="353">
        <f t="shared" si="189"/>
        <v>0</v>
      </c>
      <c r="GY27" s="353">
        <f t="shared" si="189"/>
        <v>0</v>
      </c>
      <c r="GZ27" s="328">
        <f t="shared" si="125"/>
        <v>0</v>
      </c>
      <c r="HA27" s="329" t="e">
        <f t="shared" si="55"/>
        <v>#DIV/0!</v>
      </c>
      <c r="HD27" s="65" t="s">
        <v>804</v>
      </c>
      <c r="HE27" s="66">
        <v>0</v>
      </c>
      <c r="HF27" s="67">
        <f t="shared" si="77"/>
        <v>0</v>
      </c>
      <c r="HG27" s="68">
        <f t="shared" si="78"/>
        <v>0</v>
      </c>
      <c r="HH27" s="69">
        <v>1</v>
      </c>
      <c r="HI27" s="367">
        <v>0</v>
      </c>
      <c r="HJ27" s="140" t="s">
        <v>710</v>
      </c>
      <c r="HM27" s="330" t="s">
        <v>593</v>
      </c>
      <c r="HN27" s="316" t="e">
        <f>$FF$12</f>
        <v>#DIV/0!</v>
      </c>
      <c r="HO27" s="354" t="e">
        <f>HN27/HN$9</f>
        <v>#DIV/0!</v>
      </c>
      <c r="HP27" s="316" t="e">
        <f>$FG$12</f>
        <v>#DIV/0!</v>
      </c>
      <c r="HQ27" s="354" t="e">
        <f>HP27/HP$9</f>
        <v>#DIV/0!</v>
      </c>
      <c r="HR27" s="316" t="e">
        <f>$FH$12</f>
        <v>#DIV/0!</v>
      </c>
      <c r="HS27" s="354" t="e">
        <f>HR27/HR$9</f>
        <v>#DIV/0!</v>
      </c>
      <c r="HT27" s="316" t="e">
        <f>$FI$12</f>
        <v>#DIV/0!</v>
      </c>
      <c r="HU27" s="354" t="e">
        <f>HT27/HT$9</f>
        <v>#DIV/0!</v>
      </c>
      <c r="HV27" s="316" t="e">
        <f>$FJ$12</f>
        <v>#DIV/0!</v>
      </c>
      <c r="HW27" s="354" t="e">
        <f>HV27/HV$9</f>
        <v>#DIV/0!</v>
      </c>
      <c r="HX27" s="316" t="e">
        <f>$FK$12</f>
        <v>#DIV/0!</v>
      </c>
      <c r="HY27" s="354" t="e">
        <f>HX27/HX$9</f>
        <v>#DIV/0!</v>
      </c>
      <c r="HZ27" s="316" t="e">
        <f>$FL$12</f>
        <v>#DIV/0!</v>
      </c>
      <c r="IA27" s="354" t="e">
        <f>HZ27/HZ$9</f>
        <v>#DIV/0!</v>
      </c>
      <c r="IB27" s="316" t="e">
        <f>$FM$12</f>
        <v>#DIV/0!</v>
      </c>
      <c r="IC27" s="354" t="e">
        <f>IB27/IB$9</f>
        <v>#DIV/0!</v>
      </c>
      <c r="ID27" s="316" t="e">
        <f>$FN$12</f>
        <v>#DIV/0!</v>
      </c>
      <c r="IE27" s="354" t="e">
        <f>ID27/ID$9</f>
        <v>#DIV/0!</v>
      </c>
      <c r="IF27" s="316" t="e">
        <f>$FO$12</f>
        <v>#DIV/0!</v>
      </c>
      <c r="IG27" s="354" t="e">
        <f>IF27/IF$9</f>
        <v>#DIV/0!</v>
      </c>
      <c r="IH27" s="316" t="e">
        <f>$FP$12</f>
        <v>#DIV/0!</v>
      </c>
      <c r="II27" s="354" t="e">
        <f>IH27/IH$9</f>
        <v>#DIV/0!</v>
      </c>
      <c r="IJ27" s="316" t="e">
        <f>$FQ$12</f>
        <v>#DIV/0!</v>
      </c>
      <c r="IK27" s="354" t="e">
        <f>IJ27/IJ$9</f>
        <v>#DIV/0!</v>
      </c>
      <c r="IL27" s="333" t="e">
        <f>HN27+HP27+HR27+HT27+HV27+HX27+HZ27+IB27+ID27+IF27+IH27+IJ27</f>
        <v>#DIV/0!</v>
      </c>
      <c r="IM27" s="354" t="e">
        <f>IL27/IL$9</f>
        <v>#DIV/0!</v>
      </c>
    </row>
    <row r="28" spans="2:247" ht="14.4" customHeight="1" x14ac:dyDescent="0.3">
      <c r="B28" s="236">
        <f>D28*$D$19</f>
        <v>0</v>
      </c>
      <c r="C28" s="44" t="s">
        <v>616</v>
      </c>
      <c r="D28" s="15">
        <f>$D$24*B23</f>
        <v>0</v>
      </c>
      <c r="E28" s="15">
        <f t="shared" si="165"/>
        <v>0</v>
      </c>
      <c r="F28" s="15">
        <f t="shared" si="166"/>
        <v>0</v>
      </c>
      <c r="I28" s="44" t="s">
        <v>359</v>
      </c>
      <c r="J28" s="49">
        <v>5</v>
      </c>
      <c r="K28" s="13"/>
      <c r="L28" s="13"/>
      <c r="M28" s="13"/>
      <c r="X28" s="335" t="e">
        <f t="shared" si="181"/>
        <v>#DIV/0!</v>
      </c>
      <c r="Y28" s="336" t="s">
        <v>324</v>
      </c>
      <c r="Z28" s="389">
        <f t="shared" si="182"/>
        <v>0</v>
      </c>
      <c r="AA28" s="299">
        <v>35.051900000000003</v>
      </c>
      <c r="AB28" s="339">
        <f t="shared" si="183"/>
        <v>0</v>
      </c>
      <c r="AD28" s="336" t="str">
        <f t="shared" si="184"/>
        <v>Julio</v>
      </c>
      <c r="AE28" s="340">
        <f t="shared" si="185"/>
        <v>1.91</v>
      </c>
      <c r="AG28" s="390">
        <v>0</v>
      </c>
      <c r="AM28" s="394">
        <f t="shared" si="5"/>
        <v>0</v>
      </c>
      <c r="AN28" s="394">
        <f t="shared" si="6"/>
        <v>0</v>
      </c>
      <c r="AO28" s="394">
        <f t="shared" si="7"/>
        <v>0</v>
      </c>
      <c r="AP28" s="394">
        <f t="shared" si="8"/>
        <v>0</v>
      </c>
      <c r="AQ28" s="395" t="s">
        <v>805</v>
      </c>
      <c r="AR28" s="297">
        <f t="shared" si="9"/>
        <v>0</v>
      </c>
      <c r="AS28" s="396" t="e">
        <f t="shared" si="2"/>
        <v>#DIV/0!</v>
      </c>
      <c r="AT28" s="531"/>
      <c r="AU28" s="531"/>
      <c r="AV28" s="299">
        <v>0</v>
      </c>
      <c r="AW28" s="300">
        <v>0</v>
      </c>
      <c r="AX28" s="301"/>
      <c r="AY28" s="302" t="str">
        <f t="shared" si="145"/>
        <v>Octubre</v>
      </c>
      <c r="AZ28" s="385">
        <f>Tabla24[[#Totals],[Columna11]]</f>
        <v>0</v>
      </c>
      <c r="BA28" s="385" t="e">
        <f>Tabla2410[[#Totals],[Columna11]]</f>
        <v>#DIV/0!</v>
      </c>
      <c r="BB28" s="385" t="e">
        <f>Tabla24105[[#Totals],[Columna11]]</f>
        <v>#DIV/0!</v>
      </c>
      <c r="BC28" s="385" t="e">
        <f>Tabla241057[[#Totals],[Columna11]]</f>
        <v>#DIV/0!</v>
      </c>
      <c r="BD28" s="385" t="e">
        <f>Tabla24105711[[#Totals],[Columna11]]</f>
        <v>#DIV/0!</v>
      </c>
      <c r="BE28" s="386" t="e">
        <f t="shared" si="146"/>
        <v>#DIV/0!</v>
      </c>
      <c r="BF28" s="305" t="e">
        <f t="shared" si="147"/>
        <v>#DIV/0!</v>
      </c>
      <c r="BH28" s="525"/>
      <c r="BI28" s="525"/>
      <c r="BJ28" s="370" t="e">
        <f>$AS$26</f>
        <v>#DIV/0!</v>
      </c>
      <c r="BK28" s="242" t="str">
        <f t="shared" si="19"/>
        <v>C21</v>
      </c>
      <c r="BL28" s="303">
        <f t="shared" si="20"/>
        <v>0</v>
      </c>
      <c r="BM28" s="303">
        <f t="shared" si="20"/>
        <v>0</v>
      </c>
      <c r="BN28" s="303">
        <f t="shared" si="20"/>
        <v>0</v>
      </c>
      <c r="BO28" s="303">
        <f t="shared" si="21"/>
        <v>0</v>
      </c>
      <c r="BP28" s="303">
        <f t="shared" si="22"/>
        <v>0</v>
      </c>
      <c r="BQ28" s="303">
        <f t="shared" si="23"/>
        <v>0</v>
      </c>
      <c r="BR28" s="303">
        <f t="shared" si="24"/>
        <v>0</v>
      </c>
      <c r="BS28" s="303">
        <f t="shared" si="25"/>
        <v>0</v>
      </c>
      <c r="BT28" s="303">
        <f t="shared" si="26"/>
        <v>0</v>
      </c>
      <c r="BU28" s="303">
        <f t="shared" si="27"/>
        <v>0</v>
      </c>
      <c r="BV28" s="303">
        <f t="shared" si="28"/>
        <v>0</v>
      </c>
      <c r="BW28" s="303">
        <f t="shared" si="29"/>
        <v>0</v>
      </c>
      <c r="BX28" s="303">
        <f t="shared" si="30"/>
        <v>0</v>
      </c>
      <c r="BY28" s="303">
        <f t="shared" si="31"/>
        <v>0</v>
      </c>
      <c r="BZ28" s="303">
        <f t="shared" si="32"/>
        <v>0</v>
      </c>
      <c r="CB28" s="525"/>
      <c r="CC28" s="525"/>
      <c r="CD28" s="370" t="e">
        <f>$AS$26</f>
        <v>#DIV/0!</v>
      </c>
      <c r="CE28" s="242" t="str">
        <f>Tabla2[[#This Row],[Columna1]]</f>
        <v>C21</v>
      </c>
      <c r="CF28" s="303">
        <f>Tabla29[[#This Row],[Columna3]]/7</f>
        <v>0</v>
      </c>
      <c r="CG28" s="303">
        <f>Tabla29[[#This Row],[Columna4]]/4.2</f>
        <v>0</v>
      </c>
      <c r="CH28" s="303">
        <f>Tabla2[[#This Row],[Columna16]]</f>
        <v>0</v>
      </c>
      <c r="CI28" s="303" t="e">
        <f>(Tabla29[[#This Row],[Columna4]]*CI$5/$BZ$5)*$CH$4</f>
        <v>#DIV/0!</v>
      </c>
      <c r="CJ28" s="303" t="e">
        <f>(Tabla29[[#This Row],[Columna4]]*CJ$5/$BZ$5)*$CH$4</f>
        <v>#DIV/0!</v>
      </c>
      <c r="CK28" s="303" t="e">
        <f>(Tabla29[[#This Row],[Columna4]]*CK$5/$BZ$5)*$CH$4</f>
        <v>#DIV/0!</v>
      </c>
      <c r="CL28" s="303" t="e">
        <f>(Tabla29[[#This Row],[Columna4]]*CL$5/$BZ$5)*$CH$4</f>
        <v>#DIV/0!</v>
      </c>
      <c r="CM28" s="303" t="e">
        <f>(Tabla29[[#This Row],[Columna4]]*CM$5/$BZ$5)*$CH$4</f>
        <v>#DIV/0!</v>
      </c>
      <c r="CN28" s="303" t="e">
        <f>(Tabla29[[#This Row],[Columna4]]*CN$5/$BZ$5)*$CH$4</f>
        <v>#DIV/0!</v>
      </c>
      <c r="CO28" s="303" t="e">
        <f>(Tabla29[[#This Row],[Columna4]]*CO$5/$BZ$5)*$CH$4</f>
        <v>#DIV/0!</v>
      </c>
      <c r="CP28" s="303" t="e">
        <f>(Tabla29[[#This Row],[Columna4]]*CP$5/$BZ$5)*$CH$4</f>
        <v>#DIV/0!</v>
      </c>
      <c r="CQ28" s="303" t="e">
        <f>(Tabla29[[#This Row],[Columna4]]*CQ$5/$BZ$5)*$CH$4</f>
        <v>#DIV/0!</v>
      </c>
      <c r="CR28" s="303" t="e">
        <f>(Tabla29[[#This Row],[Columna4]]*CR$5/$BZ$5)*$CH$4</f>
        <v>#DIV/0!</v>
      </c>
      <c r="CS28" s="303" t="e">
        <f>(Tabla29[[#This Row],[Columna4]]*CS$5/$BZ$5)*$CH$4</f>
        <v>#DIV/0!</v>
      </c>
      <c r="CT28" s="303" t="e">
        <f>(Tabla29[[#This Row],[Columna4]]*CT$5/$BZ$5)*$CH$4</f>
        <v>#DIV/0!</v>
      </c>
      <c r="CV28" s="525"/>
      <c r="CW28" s="525"/>
      <c r="CX28" s="370" t="e">
        <f>$AS$26</f>
        <v>#DIV/0!</v>
      </c>
      <c r="CY28" s="242" t="str">
        <f>Tabla2[[#This Row],[Columna1]]</f>
        <v>C21</v>
      </c>
      <c r="CZ28" s="303" t="e">
        <f>Tabla292[[#This Row],[Columna3]]/7</f>
        <v>#DIV/0!</v>
      </c>
      <c r="DA28" s="303" t="e">
        <f>Tabla292[[#This Row],[Columna4]]/4.2</f>
        <v>#DIV/0!</v>
      </c>
      <c r="DB28" s="303" t="e">
        <f>Tabla29[[#This Row],[Columna16]]</f>
        <v>#DIV/0!</v>
      </c>
      <c r="DC28" s="303" t="e">
        <f>(Tabla292[[#This Row],[Columna4]]*DC$5/$CT$5)*$DB$4</f>
        <v>#DIV/0!</v>
      </c>
      <c r="DD28" s="303" t="e">
        <f>(Tabla292[[#This Row],[Columna4]]*DD$5/$CT$5)*$DB$4</f>
        <v>#DIV/0!</v>
      </c>
      <c r="DE28" s="303" t="e">
        <f>(Tabla292[[#This Row],[Columna4]]*DE$5/$CT$5)*$DB$4</f>
        <v>#DIV/0!</v>
      </c>
      <c r="DF28" s="303" t="e">
        <f>(Tabla292[[#This Row],[Columna4]]*DF$5/$CT$5)*$DB$4</f>
        <v>#DIV/0!</v>
      </c>
      <c r="DG28" s="303" t="e">
        <f>(Tabla292[[#This Row],[Columna4]]*DG$5/$CT$5)*$DB$4</f>
        <v>#DIV/0!</v>
      </c>
      <c r="DH28" s="303" t="e">
        <f>(Tabla292[[#This Row],[Columna4]]*DH$5/$CT$5)*$DB$4</f>
        <v>#DIV/0!</v>
      </c>
      <c r="DI28" s="303" t="e">
        <f>(Tabla292[[#This Row],[Columna4]]*DI$5/$CT$5)*$DB$4</f>
        <v>#DIV/0!</v>
      </c>
      <c r="DJ28" s="303" t="e">
        <f>(Tabla292[[#This Row],[Columna4]]*DJ$5/$CT$5)*$DB$4</f>
        <v>#DIV/0!</v>
      </c>
      <c r="DK28" s="303" t="e">
        <f>(Tabla292[[#This Row],[Columna4]]*DK$5/$CT$5)*$DB$4</f>
        <v>#DIV/0!</v>
      </c>
      <c r="DL28" s="303" t="e">
        <f>(Tabla292[[#This Row],[Columna4]]*DL$5/$CT$5)*$DB$4</f>
        <v>#DIV/0!</v>
      </c>
      <c r="DM28" s="303" t="e">
        <f>(Tabla292[[#This Row],[Columna4]]*DM$5/$CT$5)*$DB$4</f>
        <v>#DIV/0!</v>
      </c>
      <c r="DN28" s="303" t="e">
        <f>(Tabla292[[#This Row],[Columna4]]*DN$5/$CT$5)*$DB$4</f>
        <v>#DIV/0!</v>
      </c>
      <c r="DP28" s="525"/>
      <c r="DQ28" s="525"/>
      <c r="DR28" s="370" t="e">
        <f>$AS$26</f>
        <v>#DIV/0!</v>
      </c>
      <c r="DS28" s="242" t="str">
        <f>Tabla2[[#This Row],[Columna1]]</f>
        <v>C21</v>
      </c>
      <c r="DT28" s="303" t="e">
        <f>Tabla2926[[#This Row],[Columna3]]/7</f>
        <v>#DIV/0!</v>
      </c>
      <c r="DU28" s="303" t="e">
        <f>Tabla2926[[#This Row],[Columna4]]/4.2</f>
        <v>#DIV/0!</v>
      </c>
      <c r="DV28" s="303" t="e">
        <f>Tabla292[[#This Row],[Columna16]]</f>
        <v>#DIV/0!</v>
      </c>
      <c r="DW28" s="303" t="e">
        <f>(Tabla2926[[#This Row],[Columna4]]*DW$5/$DN$5)*$DV$4</f>
        <v>#DIV/0!</v>
      </c>
      <c r="DX28" s="303" t="e">
        <f>(Tabla2926[[#This Row],[Columna4]]*DX$5/$DN$5)*$DV$4</f>
        <v>#DIV/0!</v>
      </c>
      <c r="DY28" s="303" t="e">
        <f>(Tabla2926[[#This Row],[Columna4]]*DY$5/$DN$5)*$DV$4</f>
        <v>#DIV/0!</v>
      </c>
      <c r="DZ28" s="303" t="e">
        <f>(Tabla2926[[#This Row],[Columna4]]*DZ$5/$DN$5)*$DV$4</f>
        <v>#DIV/0!</v>
      </c>
      <c r="EA28" s="303" t="e">
        <f>(Tabla2926[[#This Row],[Columna4]]*EA$5/$DN$5)*$DV$4</f>
        <v>#DIV/0!</v>
      </c>
      <c r="EB28" s="303" t="e">
        <f>(Tabla2926[[#This Row],[Columna4]]*EB$5/$DN$5)*$DV$4</f>
        <v>#DIV/0!</v>
      </c>
      <c r="EC28" s="303" t="e">
        <f>(Tabla2926[[#This Row],[Columna4]]*EC$5/$DN$5)*$DV$4</f>
        <v>#DIV/0!</v>
      </c>
      <c r="ED28" s="303" t="e">
        <f>(Tabla2926[[#This Row],[Columna4]]*ED$5/$DN$5)*$DV$4</f>
        <v>#DIV/0!</v>
      </c>
      <c r="EE28" s="303" t="e">
        <f>(Tabla2926[[#This Row],[Columna4]]*EE$5/$DN$5)*$DV$4</f>
        <v>#DIV/0!</v>
      </c>
      <c r="EF28" s="303" t="e">
        <f>(Tabla2926[[#This Row],[Columna4]]*EF$5/$DN$5)*$DV$4</f>
        <v>#DIV/0!</v>
      </c>
      <c r="EG28" s="303" t="e">
        <f>(Tabla2926[[#This Row],[Columna4]]*EG$5/$DN$5)*$DV$4</f>
        <v>#DIV/0!</v>
      </c>
      <c r="EH28" s="303" t="e">
        <f>(Tabla2926[[#This Row],[Columna4]]*EH$5/$DN$5)*$DV$4</f>
        <v>#DIV/0!</v>
      </c>
      <c r="EJ28" s="525"/>
      <c r="EK28" s="525"/>
      <c r="EL28" s="370" t="e">
        <f>$AS$26</f>
        <v>#DIV/0!</v>
      </c>
      <c r="EM28" s="242" t="str">
        <f>Tabla2[[#This Row],[Columna1]]</f>
        <v>C21</v>
      </c>
      <c r="EN28" s="303" t="e">
        <f>Tabla29268[[#This Row],[Columna3]]/7</f>
        <v>#DIV/0!</v>
      </c>
      <c r="EO28" s="303" t="e">
        <f>Tabla29268[[#This Row],[Columna4]]/4.2</f>
        <v>#DIV/0!</v>
      </c>
      <c r="EP28" s="303" t="e">
        <f>Tabla2926[[#This Row],[Columna16]]</f>
        <v>#DIV/0!</v>
      </c>
      <c r="EQ28" s="303" t="e">
        <f>(Tabla29268[[#This Row],[Columna4]]*EQ$5/$EH$5)*$EP$4</f>
        <v>#DIV/0!</v>
      </c>
      <c r="ER28" s="303" t="e">
        <f>(Tabla29268[[#This Row],[Columna4]]*ER$5/$EH$5)*$EP$4</f>
        <v>#DIV/0!</v>
      </c>
      <c r="ES28" s="303" t="e">
        <f>(Tabla29268[[#This Row],[Columna4]]*ES$5/$EH$5)*$EP$4</f>
        <v>#DIV/0!</v>
      </c>
      <c r="ET28" s="303" t="e">
        <f>(Tabla29268[[#This Row],[Columna4]]*ET$5/$EH$5)*$EP$4</f>
        <v>#DIV/0!</v>
      </c>
      <c r="EU28" s="303" t="e">
        <f>(Tabla29268[[#This Row],[Columna4]]*EU$5/$EH$5)*$EP$4</f>
        <v>#DIV/0!</v>
      </c>
      <c r="EV28" s="303" t="e">
        <f>(Tabla29268[[#This Row],[Columna4]]*EV$5/$EH$5)*$EP$4</f>
        <v>#DIV/0!</v>
      </c>
      <c r="EW28" s="303" t="e">
        <f>(Tabla29268[[#This Row],[Columna4]]*EW$5/$EH$5)*$EP$4</f>
        <v>#DIV/0!</v>
      </c>
      <c r="EX28" s="303" t="e">
        <f>(Tabla29268[[#This Row],[Columna4]]*EX$5/$EH$5)*$EP$4</f>
        <v>#DIV/0!</v>
      </c>
      <c r="EY28" s="303" t="e">
        <f>(Tabla29268[[#This Row],[Columna4]]*EY$5/$EH$5)*$EP$4</f>
        <v>#DIV/0!</v>
      </c>
      <c r="EZ28" s="303" t="e">
        <f>(Tabla29268[[#This Row],[Columna4]]*EZ$5/$EH$5)*$EP$4</f>
        <v>#DIV/0!</v>
      </c>
      <c r="FA28" s="303" t="e">
        <f>(Tabla29268[[#This Row],[Columna4]]*FA$5/$EH$5)*$EP$4</f>
        <v>#DIV/0!</v>
      </c>
      <c r="FB28" s="303" t="e">
        <f>(Tabla29268[[#This Row],[Columna4]]*FB$5/$EH$5)*$EP$4</f>
        <v>#DIV/0!</v>
      </c>
      <c r="FG28" s="351"/>
      <c r="FH28" s="351"/>
      <c r="FI28" s="351"/>
      <c r="FJ28" s="351"/>
      <c r="FK28" s="351"/>
      <c r="FL28" s="351"/>
      <c r="FM28" s="351"/>
      <c r="FN28" s="351"/>
      <c r="FO28" s="351"/>
      <c r="FP28" s="351"/>
      <c r="FQ28" s="351"/>
      <c r="FR28" s="309" t="e">
        <f>FR17-FR19-FR25</f>
        <v>#DIV/0!</v>
      </c>
      <c r="FS28" s="260"/>
      <c r="FW28" s="260" t="e">
        <f>FW27/FW6</f>
        <v>#DIV/0!</v>
      </c>
      <c r="FX28" s="260" t="e">
        <f t="shared" ref="FX28:GH28" si="190">FX27/FX6</f>
        <v>#DIV/0!</v>
      </c>
      <c r="FY28" s="260" t="e">
        <f t="shared" si="190"/>
        <v>#DIV/0!</v>
      </c>
      <c r="FZ28" s="260" t="e">
        <f t="shared" si="190"/>
        <v>#DIV/0!</v>
      </c>
      <c r="GA28" s="260" t="e">
        <f t="shared" si="190"/>
        <v>#DIV/0!</v>
      </c>
      <c r="GB28" s="260" t="e">
        <f t="shared" si="190"/>
        <v>#DIV/0!</v>
      </c>
      <c r="GC28" s="260" t="e">
        <f t="shared" si="190"/>
        <v>#DIV/0!</v>
      </c>
      <c r="GD28" s="260" t="e">
        <f t="shared" si="190"/>
        <v>#DIV/0!</v>
      </c>
      <c r="GE28" s="260" t="e">
        <f t="shared" si="190"/>
        <v>#DIV/0!</v>
      </c>
      <c r="GF28" s="260" t="e">
        <f t="shared" si="190"/>
        <v>#DIV/0!</v>
      </c>
      <c r="GG28" s="260" t="e">
        <f t="shared" si="190"/>
        <v>#DIV/0!</v>
      </c>
      <c r="GH28" s="260" t="e">
        <f t="shared" si="190"/>
        <v>#DIV/0!</v>
      </c>
      <c r="GJ28" s="262"/>
      <c r="GL28" s="250">
        <f t="shared" si="131"/>
        <v>19</v>
      </c>
      <c r="GM28" s="352" t="s">
        <v>471</v>
      </c>
      <c r="GN28" s="353" t="e">
        <f t="shared" ref="GN28:GY28" si="191">FF100-GN12</f>
        <v>#DIV/0!</v>
      </c>
      <c r="GO28" s="353" t="e">
        <f t="shared" si="191"/>
        <v>#DIV/0!</v>
      </c>
      <c r="GP28" s="353" t="e">
        <f t="shared" si="191"/>
        <v>#DIV/0!</v>
      </c>
      <c r="GQ28" s="353" t="e">
        <f t="shared" si="191"/>
        <v>#DIV/0!</v>
      </c>
      <c r="GR28" s="353" t="e">
        <f t="shared" si="191"/>
        <v>#DIV/0!</v>
      </c>
      <c r="GS28" s="353" t="e">
        <f t="shared" si="191"/>
        <v>#DIV/0!</v>
      </c>
      <c r="GT28" s="353" t="e">
        <f t="shared" si="191"/>
        <v>#DIV/0!</v>
      </c>
      <c r="GU28" s="353" t="e">
        <f t="shared" si="191"/>
        <v>#DIV/0!</v>
      </c>
      <c r="GV28" s="353" t="e">
        <f t="shared" si="191"/>
        <v>#DIV/0!</v>
      </c>
      <c r="GW28" s="353" t="e">
        <f t="shared" si="191"/>
        <v>#DIV/0!</v>
      </c>
      <c r="GX28" s="353" t="e">
        <f t="shared" si="191"/>
        <v>#DIV/0!</v>
      </c>
      <c r="GY28" s="353" t="e">
        <f t="shared" si="191"/>
        <v>#DIV/0!</v>
      </c>
      <c r="GZ28" s="328" t="e">
        <f t="shared" si="125"/>
        <v>#DIV/0!</v>
      </c>
      <c r="HA28" s="329" t="e">
        <f t="shared" si="55"/>
        <v>#DIV/0!</v>
      </c>
      <c r="HB28" s="244" t="e">
        <f>(GZ28+GZ12)=FR100</f>
        <v>#DIV/0!</v>
      </c>
      <c r="HD28" s="65" t="s">
        <v>806</v>
      </c>
      <c r="HE28" s="66">
        <v>0</v>
      </c>
      <c r="HF28" s="67">
        <f t="shared" si="77"/>
        <v>0</v>
      </c>
      <c r="HG28" s="68">
        <f t="shared" si="78"/>
        <v>0</v>
      </c>
      <c r="HH28" s="69">
        <v>1</v>
      </c>
      <c r="HI28" s="367">
        <v>0</v>
      </c>
      <c r="HJ28" s="140"/>
      <c r="HM28" s="283"/>
      <c r="HN28" s="316"/>
      <c r="HO28" s="285"/>
      <c r="HP28" s="316"/>
      <c r="HQ28" s="285"/>
      <c r="HR28" s="316"/>
      <c r="HS28" s="285"/>
      <c r="HT28" s="316"/>
      <c r="HU28" s="285"/>
      <c r="HV28" s="316"/>
      <c r="HW28" s="285"/>
      <c r="HX28" s="316"/>
      <c r="HY28" s="285"/>
      <c r="HZ28" s="316"/>
      <c r="IA28" s="285"/>
      <c r="IB28" s="316"/>
      <c r="IC28" s="285"/>
      <c r="ID28" s="316"/>
      <c r="IE28" s="285"/>
      <c r="IF28" s="316"/>
      <c r="IG28" s="285"/>
      <c r="IH28" s="316"/>
      <c r="II28" s="285"/>
      <c r="IJ28" s="316"/>
      <c r="IK28" s="285"/>
      <c r="IL28" s="288"/>
      <c r="IM28" s="285"/>
    </row>
    <row r="29" spans="2:247" ht="14.4" customHeight="1" x14ac:dyDescent="0.3">
      <c r="B29" s="236" t="e">
        <f>Z8/D24</f>
        <v>#DIV/0!</v>
      </c>
      <c r="C29" s="44" t="s">
        <v>765</v>
      </c>
      <c r="D29" s="15">
        <f>Z8</f>
        <v>0</v>
      </c>
      <c r="E29" s="15">
        <f t="shared" si="165"/>
        <v>0</v>
      </c>
      <c r="F29" s="15">
        <f t="shared" si="166"/>
        <v>0</v>
      </c>
      <c r="I29" s="44" t="s">
        <v>361</v>
      </c>
      <c r="J29" s="49">
        <v>3</v>
      </c>
      <c r="K29" s="13"/>
      <c r="L29" s="13"/>
      <c r="M29" s="13"/>
      <c r="X29" s="335" t="e">
        <f t="shared" si="181"/>
        <v>#DIV/0!</v>
      </c>
      <c r="Y29" s="336" t="s">
        <v>325</v>
      </c>
      <c r="Z29" s="389">
        <f t="shared" si="182"/>
        <v>0</v>
      </c>
      <c r="AA29" s="299">
        <v>35.110900000000001</v>
      </c>
      <c r="AB29" s="339">
        <f t="shared" si="183"/>
        <v>0</v>
      </c>
      <c r="AD29" s="336" t="str">
        <f t="shared" si="184"/>
        <v>Agosto</v>
      </c>
      <c r="AE29" s="340">
        <f t="shared" si="185"/>
        <v>2.36</v>
      </c>
      <c r="AG29" s="390">
        <v>0</v>
      </c>
      <c r="AM29" s="394">
        <f t="shared" si="5"/>
        <v>0</v>
      </c>
      <c r="AN29" s="394">
        <f t="shared" si="6"/>
        <v>0</v>
      </c>
      <c r="AO29" s="394">
        <f t="shared" si="7"/>
        <v>0</v>
      </c>
      <c r="AP29" s="394">
        <f t="shared" si="8"/>
        <v>0</v>
      </c>
      <c r="AQ29" s="395" t="s">
        <v>807</v>
      </c>
      <c r="AR29" s="297">
        <f t="shared" si="9"/>
        <v>0</v>
      </c>
      <c r="AS29" s="396" t="e">
        <f t="shared" si="2"/>
        <v>#DIV/0!</v>
      </c>
      <c r="AT29" s="531"/>
      <c r="AU29" s="531"/>
      <c r="AV29" s="299">
        <v>0</v>
      </c>
      <c r="AW29" s="300">
        <v>0</v>
      </c>
      <c r="AX29" s="301"/>
      <c r="AY29" s="302" t="str">
        <f t="shared" si="145"/>
        <v>Noviembre</v>
      </c>
      <c r="AZ29" s="385">
        <f>Tabla24[[#Totals],[Columna12]]</f>
        <v>0</v>
      </c>
      <c r="BA29" s="385" t="e">
        <f>Tabla2410[[#Totals],[Columna12]]</f>
        <v>#DIV/0!</v>
      </c>
      <c r="BB29" s="385" t="e">
        <f>Tabla24105[[#Totals],[Columna12]]</f>
        <v>#DIV/0!</v>
      </c>
      <c r="BC29" s="385" t="e">
        <f>Tabla241057[[#Totals],[Columna12]]</f>
        <v>#DIV/0!</v>
      </c>
      <c r="BD29" s="385" t="e">
        <f>Tabla24105711[[#Totals],[Columna12]]</f>
        <v>#DIV/0!</v>
      </c>
      <c r="BE29" s="386" t="e">
        <f t="shared" si="146"/>
        <v>#DIV/0!</v>
      </c>
      <c r="BF29" s="305" t="e">
        <f t="shared" si="147"/>
        <v>#DIV/0!</v>
      </c>
      <c r="BH29" s="531" t="s">
        <v>321</v>
      </c>
      <c r="BI29" s="531" t="e">
        <f>SUM(BJ29:BJ41)</f>
        <v>#DIV/0!</v>
      </c>
      <c r="BJ29" s="396" t="e">
        <f>$AS$27</f>
        <v>#DIV/0!</v>
      </c>
      <c r="BK29" s="242" t="str">
        <f t="shared" si="19"/>
        <v>C22</v>
      </c>
      <c r="BL29" s="303">
        <f t="shared" si="20"/>
        <v>0</v>
      </c>
      <c r="BM29" s="303">
        <f t="shared" si="20"/>
        <v>0</v>
      </c>
      <c r="BN29" s="303">
        <f t="shared" si="20"/>
        <v>0</v>
      </c>
      <c r="BO29" s="303">
        <f t="shared" si="21"/>
        <v>0</v>
      </c>
      <c r="BP29" s="303">
        <f t="shared" si="22"/>
        <v>0</v>
      </c>
      <c r="BQ29" s="303">
        <f t="shared" si="23"/>
        <v>0</v>
      </c>
      <c r="BR29" s="303">
        <f t="shared" si="24"/>
        <v>0</v>
      </c>
      <c r="BS29" s="303">
        <f t="shared" si="25"/>
        <v>0</v>
      </c>
      <c r="BT29" s="303">
        <f t="shared" si="26"/>
        <v>0</v>
      </c>
      <c r="BU29" s="303">
        <f t="shared" si="27"/>
        <v>0</v>
      </c>
      <c r="BV29" s="303">
        <f t="shared" si="28"/>
        <v>0</v>
      </c>
      <c r="BW29" s="303">
        <f t="shared" si="29"/>
        <v>0</v>
      </c>
      <c r="BX29" s="303">
        <f t="shared" si="30"/>
        <v>0</v>
      </c>
      <c r="BY29" s="303">
        <f t="shared" si="31"/>
        <v>0</v>
      </c>
      <c r="BZ29" s="303">
        <f t="shared" si="32"/>
        <v>0</v>
      </c>
      <c r="CB29" s="531" t="s">
        <v>321</v>
      </c>
      <c r="CC29" s="531" t="e">
        <f>SUM(CD29:CD41)</f>
        <v>#DIV/0!</v>
      </c>
      <c r="CD29" s="396" t="e">
        <f>$AS$27</f>
        <v>#DIV/0!</v>
      </c>
      <c r="CE29" s="242" t="str">
        <f>Tabla2[[#This Row],[Columna1]]</f>
        <v>C22</v>
      </c>
      <c r="CF29" s="303">
        <f>Tabla29[[#This Row],[Columna3]]/7</f>
        <v>0</v>
      </c>
      <c r="CG29" s="303">
        <f>Tabla29[[#This Row],[Columna4]]/4.2</f>
        <v>0</v>
      </c>
      <c r="CH29" s="303">
        <f>Tabla2[[#This Row],[Columna16]]</f>
        <v>0</v>
      </c>
      <c r="CI29" s="303" t="e">
        <f>(Tabla29[[#This Row],[Columna4]]*CI$5/$BZ$5)*$CH$4</f>
        <v>#DIV/0!</v>
      </c>
      <c r="CJ29" s="303" t="e">
        <f>(Tabla29[[#This Row],[Columna4]]*CJ$5/$BZ$5)*$CH$4</f>
        <v>#DIV/0!</v>
      </c>
      <c r="CK29" s="303" t="e">
        <f>(Tabla29[[#This Row],[Columna4]]*CK$5/$BZ$5)*$CH$4</f>
        <v>#DIV/0!</v>
      </c>
      <c r="CL29" s="303" t="e">
        <f>(Tabla29[[#This Row],[Columna4]]*CL$5/$BZ$5)*$CH$4</f>
        <v>#DIV/0!</v>
      </c>
      <c r="CM29" s="303" t="e">
        <f>(Tabla29[[#This Row],[Columna4]]*CM$5/$BZ$5)*$CH$4</f>
        <v>#DIV/0!</v>
      </c>
      <c r="CN29" s="303" t="e">
        <f>(Tabla29[[#This Row],[Columna4]]*CN$5/$BZ$5)*$CH$4</f>
        <v>#DIV/0!</v>
      </c>
      <c r="CO29" s="303" t="e">
        <f>(Tabla29[[#This Row],[Columna4]]*CO$5/$BZ$5)*$CH$4</f>
        <v>#DIV/0!</v>
      </c>
      <c r="CP29" s="303" t="e">
        <f>(Tabla29[[#This Row],[Columna4]]*CP$5/$BZ$5)*$CH$4</f>
        <v>#DIV/0!</v>
      </c>
      <c r="CQ29" s="303" t="e">
        <f>(Tabla29[[#This Row],[Columna4]]*CQ$5/$BZ$5)*$CH$4</f>
        <v>#DIV/0!</v>
      </c>
      <c r="CR29" s="303" t="e">
        <f>(Tabla29[[#This Row],[Columna4]]*CR$5/$BZ$5)*$CH$4</f>
        <v>#DIV/0!</v>
      </c>
      <c r="CS29" s="303" t="e">
        <f>(Tabla29[[#This Row],[Columna4]]*CS$5/$BZ$5)*$CH$4</f>
        <v>#DIV/0!</v>
      </c>
      <c r="CT29" s="303" t="e">
        <f>(Tabla29[[#This Row],[Columna4]]*CT$5/$BZ$5)*$CH$4</f>
        <v>#DIV/0!</v>
      </c>
      <c r="CV29" s="531" t="s">
        <v>321</v>
      </c>
      <c r="CW29" s="531" t="e">
        <f>SUM(CX29:CX41)</f>
        <v>#DIV/0!</v>
      </c>
      <c r="CX29" s="396" t="e">
        <f>$AS$27</f>
        <v>#DIV/0!</v>
      </c>
      <c r="CY29" s="242" t="str">
        <f>Tabla2[[#This Row],[Columna1]]</f>
        <v>C22</v>
      </c>
      <c r="CZ29" s="303" t="e">
        <f>Tabla292[[#This Row],[Columna3]]/7</f>
        <v>#DIV/0!</v>
      </c>
      <c r="DA29" s="303" t="e">
        <f>Tabla292[[#This Row],[Columna4]]/4.2</f>
        <v>#DIV/0!</v>
      </c>
      <c r="DB29" s="303" t="e">
        <f>Tabla29[[#This Row],[Columna16]]</f>
        <v>#DIV/0!</v>
      </c>
      <c r="DC29" s="303" t="e">
        <f>(Tabla292[[#This Row],[Columna4]]*DC$5/$CT$5)*$DB$4</f>
        <v>#DIV/0!</v>
      </c>
      <c r="DD29" s="303" t="e">
        <f>(Tabla292[[#This Row],[Columna4]]*DD$5/$CT$5)*$DB$4</f>
        <v>#DIV/0!</v>
      </c>
      <c r="DE29" s="303" t="e">
        <f>(Tabla292[[#This Row],[Columna4]]*DE$5/$CT$5)*$DB$4</f>
        <v>#DIV/0!</v>
      </c>
      <c r="DF29" s="303" t="e">
        <f>(Tabla292[[#This Row],[Columna4]]*DF$5/$CT$5)*$DB$4</f>
        <v>#DIV/0!</v>
      </c>
      <c r="DG29" s="303" t="e">
        <f>(Tabla292[[#This Row],[Columna4]]*DG$5/$CT$5)*$DB$4</f>
        <v>#DIV/0!</v>
      </c>
      <c r="DH29" s="303" t="e">
        <f>(Tabla292[[#This Row],[Columna4]]*DH$5/$CT$5)*$DB$4</f>
        <v>#DIV/0!</v>
      </c>
      <c r="DI29" s="303" t="e">
        <f>(Tabla292[[#This Row],[Columna4]]*DI$5/$CT$5)*$DB$4</f>
        <v>#DIV/0!</v>
      </c>
      <c r="DJ29" s="303" t="e">
        <f>(Tabla292[[#This Row],[Columna4]]*DJ$5/$CT$5)*$DB$4</f>
        <v>#DIV/0!</v>
      </c>
      <c r="DK29" s="303" t="e">
        <f>(Tabla292[[#This Row],[Columna4]]*DK$5/$CT$5)*$DB$4</f>
        <v>#DIV/0!</v>
      </c>
      <c r="DL29" s="303" t="e">
        <f>(Tabla292[[#This Row],[Columna4]]*DL$5/$CT$5)*$DB$4</f>
        <v>#DIV/0!</v>
      </c>
      <c r="DM29" s="303" t="e">
        <f>(Tabla292[[#This Row],[Columna4]]*DM$5/$CT$5)*$DB$4</f>
        <v>#DIV/0!</v>
      </c>
      <c r="DN29" s="303" t="e">
        <f>(Tabla292[[#This Row],[Columna4]]*DN$5/$CT$5)*$DB$4</f>
        <v>#DIV/0!</v>
      </c>
      <c r="DP29" s="531" t="s">
        <v>321</v>
      </c>
      <c r="DQ29" s="531" t="e">
        <f>SUM(DR29:DR41)</f>
        <v>#DIV/0!</v>
      </c>
      <c r="DR29" s="396" t="e">
        <f>$AS$27</f>
        <v>#DIV/0!</v>
      </c>
      <c r="DS29" s="242" t="str">
        <f>Tabla2[[#This Row],[Columna1]]</f>
        <v>C22</v>
      </c>
      <c r="DT29" s="303" t="e">
        <f>Tabla2926[[#This Row],[Columna3]]/7</f>
        <v>#DIV/0!</v>
      </c>
      <c r="DU29" s="303" t="e">
        <f>Tabla2926[[#This Row],[Columna4]]/4.2</f>
        <v>#DIV/0!</v>
      </c>
      <c r="DV29" s="303" t="e">
        <f>Tabla292[[#This Row],[Columna16]]</f>
        <v>#DIV/0!</v>
      </c>
      <c r="DW29" s="303" t="e">
        <f>(Tabla2926[[#This Row],[Columna4]]*DW$5/$DN$5)*$DV$4</f>
        <v>#DIV/0!</v>
      </c>
      <c r="DX29" s="303" t="e">
        <f>(Tabla2926[[#This Row],[Columna4]]*DX$5/$DN$5)*$DV$4</f>
        <v>#DIV/0!</v>
      </c>
      <c r="DY29" s="303" t="e">
        <f>(Tabla2926[[#This Row],[Columna4]]*DY$5/$DN$5)*$DV$4</f>
        <v>#DIV/0!</v>
      </c>
      <c r="DZ29" s="303" t="e">
        <f>(Tabla2926[[#This Row],[Columna4]]*DZ$5/$DN$5)*$DV$4</f>
        <v>#DIV/0!</v>
      </c>
      <c r="EA29" s="303" t="e">
        <f>(Tabla2926[[#This Row],[Columna4]]*EA$5/$DN$5)*$DV$4</f>
        <v>#DIV/0!</v>
      </c>
      <c r="EB29" s="303" t="e">
        <f>(Tabla2926[[#This Row],[Columna4]]*EB$5/$DN$5)*$DV$4</f>
        <v>#DIV/0!</v>
      </c>
      <c r="EC29" s="303" t="e">
        <f>(Tabla2926[[#This Row],[Columna4]]*EC$5/$DN$5)*$DV$4</f>
        <v>#DIV/0!</v>
      </c>
      <c r="ED29" s="303" t="e">
        <f>(Tabla2926[[#This Row],[Columna4]]*ED$5/$DN$5)*$DV$4</f>
        <v>#DIV/0!</v>
      </c>
      <c r="EE29" s="303" t="e">
        <f>(Tabla2926[[#This Row],[Columna4]]*EE$5/$DN$5)*$DV$4</f>
        <v>#DIV/0!</v>
      </c>
      <c r="EF29" s="303" t="e">
        <f>(Tabla2926[[#This Row],[Columna4]]*EF$5/$DN$5)*$DV$4</f>
        <v>#DIV/0!</v>
      </c>
      <c r="EG29" s="303" t="e">
        <f>(Tabla2926[[#This Row],[Columna4]]*EG$5/$DN$5)*$DV$4</f>
        <v>#DIV/0!</v>
      </c>
      <c r="EH29" s="303" t="e">
        <f>(Tabla2926[[#This Row],[Columna4]]*EH$5/$DN$5)*$DV$4</f>
        <v>#DIV/0!</v>
      </c>
      <c r="EJ29" s="531" t="s">
        <v>321</v>
      </c>
      <c r="EK29" s="531" t="e">
        <f>SUM(EL29:EL41)</f>
        <v>#DIV/0!</v>
      </c>
      <c r="EL29" s="396" t="e">
        <f>$AS$27</f>
        <v>#DIV/0!</v>
      </c>
      <c r="EM29" s="242" t="str">
        <f>Tabla2[[#This Row],[Columna1]]</f>
        <v>C22</v>
      </c>
      <c r="EN29" s="303" t="e">
        <f>Tabla29268[[#This Row],[Columna3]]/7</f>
        <v>#DIV/0!</v>
      </c>
      <c r="EO29" s="303" t="e">
        <f>Tabla29268[[#This Row],[Columna4]]/4.2</f>
        <v>#DIV/0!</v>
      </c>
      <c r="EP29" s="303" t="e">
        <f>Tabla2926[[#This Row],[Columna16]]</f>
        <v>#DIV/0!</v>
      </c>
      <c r="EQ29" s="303" t="e">
        <f>(Tabla29268[[#This Row],[Columna4]]*EQ$5/$EH$5)*$EP$4</f>
        <v>#DIV/0!</v>
      </c>
      <c r="ER29" s="303" t="e">
        <f>(Tabla29268[[#This Row],[Columna4]]*ER$5/$EH$5)*$EP$4</f>
        <v>#DIV/0!</v>
      </c>
      <c r="ES29" s="303" t="e">
        <f>(Tabla29268[[#This Row],[Columna4]]*ES$5/$EH$5)*$EP$4</f>
        <v>#DIV/0!</v>
      </c>
      <c r="ET29" s="303" t="e">
        <f>(Tabla29268[[#This Row],[Columna4]]*ET$5/$EH$5)*$EP$4</f>
        <v>#DIV/0!</v>
      </c>
      <c r="EU29" s="303" t="e">
        <f>(Tabla29268[[#This Row],[Columna4]]*EU$5/$EH$5)*$EP$4</f>
        <v>#DIV/0!</v>
      </c>
      <c r="EV29" s="303" t="e">
        <f>(Tabla29268[[#This Row],[Columna4]]*EV$5/$EH$5)*$EP$4</f>
        <v>#DIV/0!</v>
      </c>
      <c r="EW29" s="303" t="e">
        <f>(Tabla29268[[#This Row],[Columna4]]*EW$5/$EH$5)*$EP$4</f>
        <v>#DIV/0!</v>
      </c>
      <c r="EX29" s="303" t="e">
        <f>(Tabla29268[[#This Row],[Columna4]]*EX$5/$EH$5)*$EP$4</f>
        <v>#DIV/0!</v>
      </c>
      <c r="EY29" s="303" t="e">
        <f>(Tabla29268[[#This Row],[Columna4]]*EY$5/$EH$5)*$EP$4</f>
        <v>#DIV/0!</v>
      </c>
      <c r="EZ29" s="303" t="e">
        <f>(Tabla29268[[#This Row],[Columna4]]*EZ$5/$EH$5)*$EP$4</f>
        <v>#DIV/0!</v>
      </c>
      <c r="FA29" s="303" t="e">
        <f>(Tabla29268[[#This Row],[Columna4]]*FA$5/$EH$5)*$EP$4</f>
        <v>#DIV/0!</v>
      </c>
      <c r="FB29" s="303" t="e">
        <f>(Tabla29268[[#This Row],[Columna4]]*FB$5/$EH$5)*$EP$4</f>
        <v>#DIV/0!</v>
      </c>
      <c r="FE29" s="526" t="s">
        <v>438</v>
      </c>
      <c r="FF29" s="526"/>
      <c r="FG29" s="526"/>
      <c r="FH29" s="526"/>
      <c r="FI29" s="526"/>
      <c r="FJ29" s="526"/>
      <c r="FK29" s="526"/>
      <c r="FL29" s="526"/>
      <c r="FM29" s="526"/>
      <c r="FN29" s="526"/>
      <c r="FO29" s="526"/>
      <c r="FP29" s="526"/>
      <c r="FQ29" s="526"/>
      <c r="FR29" s="526"/>
      <c r="FS29" s="260"/>
      <c r="FX29" s="351"/>
      <c r="FY29" s="351"/>
      <c r="FZ29" s="351"/>
      <c r="GA29" s="351"/>
      <c r="GB29" s="351"/>
      <c r="GC29" s="351"/>
      <c r="GD29" s="351"/>
      <c r="GE29" s="351"/>
      <c r="GF29" s="351"/>
      <c r="GG29" s="351"/>
      <c r="GH29" s="351"/>
      <c r="GJ29" s="262"/>
      <c r="GL29" s="250">
        <f t="shared" si="131"/>
        <v>20</v>
      </c>
      <c r="GM29" s="352" t="s">
        <v>472</v>
      </c>
      <c r="GN29" s="353">
        <f t="shared" ref="GN29:GY29" si="192">FF138</f>
        <v>0</v>
      </c>
      <c r="GO29" s="353">
        <f t="shared" si="192"/>
        <v>0</v>
      </c>
      <c r="GP29" s="353">
        <f t="shared" si="192"/>
        <v>0</v>
      </c>
      <c r="GQ29" s="353">
        <f t="shared" si="192"/>
        <v>0</v>
      </c>
      <c r="GR29" s="353">
        <f t="shared" si="192"/>
        <v>0</v>
      </c>
      <c r="GS29" s="353">
        <f t="shared" si="192"/>
        <v>0</v>
      </c>
      <c r="GT29" s="353">
        <f t="shared" si="192"/>
        <v>0</v>
      </c>
      <c r="GU29" s="353">
        <f t="shared" si="192"/>
        <v>0</v>
      </c>
      <c r="GV29" s="353">
        <f t="shared" si="192"/>
        <v>0</v>
      </c>
      <c r="GW29" s="353">
        <f t="shared" si="192"/>
        <v>0</v>
      </c>
      <c r="GX29" s="353">
        <f t="shared" si="192"/>
        <v>0</v>
      </c>
      <c r="GY29" s="353">
        <f t="shared" si="192"/>
        <v>0</v>
      </c>
      <c r="GZ29" s="328">
        <f t="shared" si="125"/>
        <v>0</v>
      </c>
      <c r="HA29" s="329" t="e">
        <f t="shared" si="55"/>
        <v>#DIV/0!</v>
      </c>
      <c r="HB29" s="244" t="b">
        <f>GZ29=FR138</f>
        <v>1</v>
      </c>
      <c r="HD29" s="65" t="s">
        <v>808</v>
      </c>
      <c r="HE29" s="66">
        <v>0</v>
      </c>
      <c r="HF29" s="67">
        <f t="shared" si="77"/>
        <v>0</v>
      </c>
      <c r="HG29" s="68">
        <f t="shared" si="78"/>
        <v>0</v>
      </c>
      <c r="HH29" s="69">
        <v>1</v>
      </c>
      <c r="HI29" s="367">
        <v>0</v>
      </c>
      <c r="HJ29" s="140"/>
      <c r="HM29" s="330" t="s">
        <v>250</v>
      </c>
      <c r="HN29" s="331" t="e">
        <f>HN17-HN19-HN27</f>
        <v>#DIV/0!</v>
      </c>
      <c r="HO29" s="354" t="e">
        <f>HN29/HN$9</f>
        <v>#DIV/0!</v>
      </c>
      <c r="HP29" s="331" t="e">
        <f>HP17-HP19-HP27</f>
        <v>#DIV/0!</v>
      </c>
      <c r="HQ29" s="354" t="e">
        <f>HP29/HP$9</f>
        <v>#DIV/0!</v>
      </c>
      <c r="HR29" s="331" t="e">
        <f>HR17-HR19-HR27</f>
        <v>#DIV/0!</v>
      </c>
      <c r="HS29" s="354" t="e">
        <f>HR29/HR$9</f>
        <v>#DIV/0!</v>
      </c>
      <c r="HT29" s="331" t="e">
        <f>HT17-HT19-HT27</f>
        <v>#DIV/0!</v>
      </c>
      <c r="HU29" s="354" t="e">
        <f>HT29/HT$9</f>
        <v>#DIV/0!</v>
      </c>
      <c r="HV29" s="331" t="e">
        <f>HV17-HV19-HV27</f>
        <v>#DIV/0!</v>
      </c>
      <c r="HW29" s="354" t="e">
        <f>HV29/HV$9</f>
        <v>#DIV/0!</v>
      </c>
      <c r="HX29" s="331" t="e">
        <f>HX17-HX19-HX27</f>
        <v>#DIV/0!</v>
      </c>
      <c r="HY29" s="354" t="e">
        <f>HX29/HX$9</f>
        <v>#DIV/0!</v>
      </c>
      <c r="HZ29" s="331" t="e">
        <f>HZ17-HZ19-HZ27</f>
        <v>#DIV/0!</v>
      </c>
      <c r="IA29" s="354" t="e">
        <f>HZ29/HZ$9</f>
        <v>#DIV/0!</v>
      </c>
      <c r="IB29" s="331" t="e">
        <f>IB17-IB19-IB27</f>
        <v>#DIV/0!</v>
      </c>
      <c r="IC29" s="354" t="e">
        <f>IB29/IB$9</f>
        <v>#DIV/0!</v>
      </c>
      <c r="ID29" s="331" t="e">
        <f>ID17-ID19-ID27</f>
        <v>#DIV/0!</v>
      </c>
      <c r="IE29" s="354" t="e">
        <f>ID29/ID$9</f>
        <v>#DIV/0!</v>
      </c>
      <c r="IF29" s="331" t="e">
        <f>IF17-IF19-IF27</f>
        <v>#DIV/0!</v>
      </c>
      <c r="IG29" s="354" t="e">
        <f>IF29/IF$9</f>
        <v>#DIV/0!</v>
      </c>
      <c r="IH29" s="331" t="e">
        <f>IH17-IH19-IH27</f>
        <v>#DIV/0!</v>
      </c>
      <c r="II29" s="354" t="e">
        <f>IH29/IH$9</f>
        <v>#DIV/0!</v>
      </c>
      <c r="IJ29" s="331" t="e">
        <f>IJ17-IJ19-IJ27</f>
        <v>#DIV/0!</v>
      </c>
      <c r="IK29" s="354" t="e">
        <f>IJ29/IJ$9</f>
        <v>#DIV/0!</v>
      </c>
      <c r="IL29" s="333" t="e">
        <f>IL17-IL19-IL27</f>
        <v>#DIV/0!</v>
      </c>
      <c r="IM29" s="354" t="e">
        <f>IL29/IL$9</f>
        <v>#DIV/0!</v>
      </c>
    </row>
    <row r="30" spans="2:247" ht="14.4" customHeight="1" x14ac:dyDescent="0.3">
      <c r="C30" s="44" t="s">
        <v>764</v>
      </c>
      <c r="D30" s="15">
        <f>$D$29*B20</f>
        <v>0</v>
      </c>
      <c r="E30" s="15">
        <f t="shared" si="165"/>
        <v>0</v>
      </c>
      <c r="F30" s="15">
        <f t="shared" si="166"/>
        <v>0</v>
      </c>
      <c r="I30" s="44" t="s">
        <v>363</v>
      </c>
      <c r="J30" s="109">
        <f>AB37/J28</f>
        <v>0</v>
      </c>
      <c r="K30" s="13"/>
      <c r="L30" s="13"/>
      <c r="M30" s="13"/>
      <c r="X30" s="335" t="e">
        <f t="shared" si="181"/>
        <v>#DIV/0!</v>
      </c>
      <c r="Y30" s="336" t="s">
        <v>326</v>
      </c>
      <c r="Z30" s="389">
        <f t="shared" si="182"/>
        <v>0</v>
      </c>
      <c r="AA30" s="299">
        <v>35.168100000000003</v>
      </c>
      <c r="AB30" s="339">
        <f t="shared" si="183"/>
        <v>0</v>
      </c>
      <c r="AD30" s="336" t="str">
        <f t="shared" si="184"/>
        <v>Septiembre</v>
      </c>
      <c r="AE30" s="340">
        <f t="shared" si="185"/>
        <v>2.81</v>
      </c>
      <c r="AG30" s="390">
        <v>0</v>
      </c>
      <c r="AM30" s="394">
        <f t="shared" si="5"/>
        <v>0</v>
      </c>
      <c r="AN30" s="394">
        <f t="shared" si="6"/>
        <v>0</v>
      </c>
      <c r="AO30" s="394">
        <f t="shared" si="7"/>
        <v>0</v>
      </c>
      <c r="AP30" s="394">
        <f t="shared" si="8"/>
        <v>0</v>
      </c>
      <c r="AQ30" s="395" t="s">
        <v>809</v>
      </c>
      <c r="AR30" s="297">
        <f t="shared" si="9"/>
        <v>0</v>
      </c>
      <c r="AS30" s="396" t="e">
        <f t="shared" si="2"/>
        <v>#DIV/0!</v>
      </c>
      <c r="AT30" s="531"/>
      <c r="AU30" s="531"/>
      <c r="AV30" s="299">
        <v>0</v>
      </c>
      <c r="AW30" s="300">
        <v>0</v>
      </c>
      <c r="AX30" s="301"/>
      <c r="AY30" s="302" t="str">
        <f t="shared" si="145"/>
        <v>Diciembre</v>
      </c>
      <c r="AZ30" s="385">
        <f>Tabla24[[#Totals],[Columna13]]</f>
        <v>0</v>
      </c>
      <c r="BA30" s="385" t="e">
        <f>Tabla2410[[#Totals],[Columna13]]</f>
        <v>#DIV/0!</v>
      </c>
      <c r="BB30" s="385" t="e">
        <f>Tabla24105[[#Totals],[Columna13]]</f>
        <v>#DIV/0!</v>
      </c>
      <c r="BC30" s="385" t="e">
        <f>Tabla241057[[#Totals],[Columna13]]</f>
        <v>#DIV/0!</v>
      </c>
      <c r="BD30" s="385" t="e">
        <f>Tabla24105711[[#Totals],[Columna13]]</f>
        <v>#DIV/0!</v>
      </c>
      <c r="BE30" s="386" t="e">
        <f t="shared" si="146"/>
        <v>#DIV/0!</v>
      </c>
      <c r="BF30" s="305" t="e">
        <f t="shared" si="147"/>
        <v>#DIV/0!</v>
      </c>
      <c r="BH30" s="531"/>
      <c r="BI30" s="531"/>
      <c r="BJ30" s="396" t="e">
        <f>$AS$28</f>
        <v>#DIV/0!</v>
      </c>
      <c r="BK30" s="242" t="str">
        <f t="shared" si="19"/>
        <v>C23</v>
      </c>
      <c r="BL30" s="303">
        <f t="shared" si="20"/>
        <v>0</v>
      </c>
      <c r="BM30" s="303">
        <f t="shared" si="20"/>
        <v>0</v>
      </c>
      <c r="BN30" s="303">
        <f t="shared" si="20"/>
        <v>0</v>
      </c>
      <c r="BO30" s="303">
        <f t="shared" si="21"/>
        <v>0</v>
      </c>
      <c r="BP30" s="303">
        <f t="shared" si="22"/>
        <v>0</v>
      </c>
      <c r="BQ30" s="303">
        <f t="shared" si="23"/>
        <v>0</v>
      </c>
      <c r="BR30" s="303">
        <f t="shared" si="24"/>
        <v>0</v>
      </c>
      <c r="BS30" s="303">
        <f t="shared" si="25"/>
        <v>0</v>
      </c>
      <c r="BT30" s="303">
        <f t="shared" si="26"/>
        <v>0</v>
      </c>
      <c r="BU30" s="303">
        <f t="shared" si="27"/>
        <v>0</v>
      </c>
      <c r="BV30" s="303">
        <f t="shared" si="28"/>
        <v>0</v>
      </c>
      <c r="BW30" s="303">
        <f t="shared" si="29"/>
        <v>0</v>
      </c>
      <c r="BX30" s="303">
        <f t="shared" si="30"/>
        <v>0</v>
      </c>
      <c r="BY30" s="303">
        <f t="shared" si="31"/>
        <v>0</v>
      </c>
      <c r="BZ30" s="303">
        <f t="shared" si="32"/>
        <v>0</v>
      </c>
      <c r="CB30" s="531"/>
      <c r="CC30" s="531"/>
      <c r="CD30" s="396" t="e">
        <f>$AS$28</f>
        <v>#DIV/0!</v>
      </c>
      <c r="CE30" s="242" t="str">
        <f>Tabla2[[#This Row],[Columna1]]</f>
        <v>C23</v>
      </c>
      <c r="CF30" s="303">
        <f>Tabla29[[#This Row],[Columna3]]/7</f>
        <v>0</v>
      </c>
      <c r="CG30" s="303">
        <f>Tabla29[[#This Row],[Columna4]]/4.2</f>
        <v>0</v>
      </c>
      <c r="CH30" s="303">
        <f>Tabla2[[#This Row],[Columna16]]</f>
        <v>0</v>
      </c>
      <c r="CI30" s="303" t="e">
        <f>(Tabla29[[#This Row],[Columna4]]*CI$5/$BZ$5)*$CH$4</f>
        <v>#DIV/0!</v>
      </c>
      <c r="CJ30" s="303" t="e">
        <f>(Tabla29[[#This Row],[Columna4]]*CJ$5/$BZ$5)*$CH$4</f>
        <v>#DIV/0!</v>
      </c>
      <c r="CK30" s="303" t="e">
        <f>(Tabla29[[#This Row],[Columna4]]*CK$5/$BZ$5)*$CH$4</f>
        <v>#DIV/0!</v>
      </c>
      <c r="CL30" s="303" t="e">
        <f>(Tabla29[[#This Row],[Columna4]]*CL$5/$BZ$5)*$CH$4</f>
        <v>#DIV/0!</v>
      </c>
      <c r="CM30" s="303" t="e">
        <f>(Tabla29[[#This Row],[Columna4]]*CM$5/$BZ$5)*$CH$4</f>
        <v>#DIV/0!</v>
      </c>
      <c r="CN30" s="303" t="e">
        <f>(Tabla29[[#This Row],[Columna4]]*CN$5/$BZ$5)*$CH$4</f>
        <v>#DIV/0!</v>
      </c>
      <c r="CO30" s="303" t="e">
        <f>(Tabla29[[#This Row],[Columna4]]*CO$5/$BZ$5)*$CH$4</f>
        <v>#DIV/0!</v>
      </c>
      <c r="CP30" s="303" t="e">
        <f>(Tabla29[[#This Row],[Columna4]]*CP$5/$BZ$5)*$CH$4</f>
        <v>#DIV/0!</v>
      </c>
      <c r="CQ30" s="303" t="e">
        <f>(Tabla29[[#This Row],[Columna4]]*CQ$5/$BZ$5)*$CH$4</f>
        <v>#DIV/0!</v>
      </c>
      <c r="CR30" s="303" t="e">
        <f>(Tabla29[[#This Row],[Columna4]]*CR$5/$BZ$5)*$CH$4</f>
        <v>#DIV/0!</v>
      </c>
      <c r="CS30" s="303" t="e">
        <f>(Tabla29[[#This Row],[Columna4]]*CS$5/$BZ$5)*$CH$4</f>
        <v>#DIV/0!</v>
      </c>
      <c r="CT30" s="303" t="e">
        <f>(Tabla29[[#This Row],[Columna4]]*CT$5/$BZ$5)*$CH$4</f>
        <v>#DIV/0!</v>
      </c>
      <c r="CV30" s="531"/>
      <c r="CW30" s="531"/>
      <c r="CX30" s="396" t="e">
        <f>$AS$28</f>
        <v>#DIV/0!</v>
      </c>
      <c r="CY30" s="242" t="str">
        <f>Tabla2[[#This Row],[Columna1]]</f>
        <v>C23</v>
      </c>
      <c r="CZ30" s="303" t="e">
        <f>Tabla292[[#This Row],[Columna3]]/7</f>
        <v>#DIV/0!</v>
      </c>
      <c r="DA30" s="303" t="e">
        <f>Tabla292[[#This Row],[Columna4]]/4.2</f>
        <v>#DIV/0!</v>
      </c>
      <c r="DB30" s="303" t="e">
        <f>Tabla29[[#This Row],[Columna16]]</f>
        <v>#DIV/0!</v>
      </c>
      <c r="DC30" s="303" t="e">
        <f>(Tabla292[[#This Row],[Columna4]]*DC$5/$CT$5)*$DB$4</f>
        <v>#DIV/0!</v>
      </c>
      <c r="DD30" s="303" t="e">
        <f>(Tabla292[[#This Row],[Columna4]]*DD$5/$CT$5)*$DB$4</f>
        <v>#DIV/0!</v>
      </c>
      <c r="DE30" s="303" t="e">
        <f>(Tabla292[[#This Row],[Columna4]]*DE$5/$CT$5)*$DB$4</f>
        <v>#DIV/0!</v>
      </c>
      <c r="DF30" s="303" t="e">
        <f>(Tabla292[[#This Row],[Columna4]]*DF$5/$CT$5)*$DB$4</f>
        <v>#DIV/0!</v>
      </c>
      <c r="DG30" s="303" t="e">
        <f>(Tabla292[[#This Row],[Columna4]]*DG$5/$CT$5)*$DB$4</f>
        <v>#DIV/0!</v>
      </c>
      <c r="DH30" s="303" t="e">
        <f>(Tabla292[[#This Row],[Columna4]]*DH$5/$CT$5)*$DB$4</f>
        <v>#DIV/0!</v>
      </c>
      <c r="DI30" s="303" t="e">
        <f>(Tabla292[[#This Row],[Columna4]]*DI$5/$CT$5)*$DB$4</f>
        <v>#DIV/0!</v>
      </c>
      <c r="DJ30" s="303" t="e">
        <f>(Tabla292[[#This Row],[Columna4]]*DJ$5/$CT$5)*$DB$4</f>
        <v>#DIV/0!</v>
      </c>
      <c r="DK30" s="303" t="e">
        <f>(Tabla292[[#This Row],[Columna4]]*DK$5/$CT$5)*$DB$4</f>
        <v>#DIV/0!</v>
      </c>
      <c r="DL30" s="303" t="e">
        <f>(Tabla292[[#This Row],[Columna4]]*DL$5/$CT$5)*$DB$4</f>
        <v>#DIV/0!</v>
      </c>
      <c r="DM30" s="303" t="e">
        <f>(Tabla292[[#This Row],[Columna4]]*DM$5/$CT$5)*$DB$4</f>
        <v>#DIV/0!</v>
      </c>
      <c r="DN30" s="303" t="e">
        <f>(Tabla292[[#This Row],[Columna4]]*DN$5/$CT$5)*$DB$4</f>
        <v>#DIV/0!</v>
      </c>
      <c r="DP30" s="531"/>
      <c r="DQ30" s="531"/>
      <c r="DR30" s="396" t="e">
        <f>$AS$28</f>
        <v>#DIV/0!</v>
      </c>
      <c r="DS30" s="242" t="str">
        <f>Tabla2[[#This Row],[Columna1]]</f>
        <v>C23</v>
      </c>
      <c r="DT30" s="303" t="e">
        <f>Tabla2926[[#This Row],[Columna3]]/7</f>
        <v>#DIV/0!</v>
      </c>
      <c r="DU30" s="303" t="e">
        <f>Tabla2926[[#This Row],[Columna4]]/4.2</f>
        <v>#DIV/0!</v>
      </c>
      <c r="DV30" s="303" t="e">
        <f>Tabla292[[#This Row],[Columna16]]</f>
        <v>#DIV/0!</v>
      </c>
      <c r="DW30" s="303" t="e">
        <f>(Tabla2926[[#This Row],[Columna4]]*DW$5/$DN$5)*$DV$4</f>
        <v>#DIV/0!</v>
      </c>
      <c r="DX30" s="303" t="e">
        <f>(Tabla2926[[#This Row],[Columna4]]*DX$5/$DN$5)*$DV$4</f>
        <v>#DIV/0!</v>
      </c>
      <c r="DY30" s="303" t="e">
        <f>(Tabla2926[[#This Row],[Columna4]]*DY$5/$DN$5)*$DV$4</f>
        <v>#DIV/0!</v>
      </c>
      <c r="DZ30" s="303" t="e">
        <f>(Tabla2926[[#This Row],[Columna4]]*DZ$5/$DN$5)*$DV$4</f>
        <v>#DIV/0!</v>
      </c>
      <c r="EA30" s="303" t="e">
        <f>(Tabla2926[[#This Row],[Columna4]]*EA$5/$DN$5)*$DV$4</f>
        <v>#DIV/0!</v>
      </c>
      <c r="EB30" s="303" t="e">
        <f>(Tabla2926[[#This Row],[Columna4]]*EB$5/$DN$5)*$DV$4</f>
        <v>#DIV/0!</v>
      </c>
      <c r="EC30" s="303" t="e">
        <f>(Tabla2926[[#This Row],[Columna4]]*EC$5/$DN$5)*$DV$4</f>
        <v>#DIV/0!</v>
      </c>
      <c r="ED30" s="303" t="e">
        <f>(Tabla2926[[#This Row],[Columna4]]*ED$5/$DN$5)*$DV$4</f>
        <v>#DIV/0!</v>
      </c>
      <c r="EE30" s="303" t="e">
        <f>(Tabla2926[[#This Row],[Columna4]]*EE$5/$DN$5)*$DV$4</f>
        <v>#DIV/0!</v>
      </c>
      <c r="EF30" s="303" t="e">
        <f>(Tabla2926[[#This Row],[Columna4]]*EF$5/$DN$5)*$DV$4</f>
        <v>#DIV/0!</v>
      </c>
      <c r="EG30" s="303" t="e">
        <f>(Tabla2926[[#This Row],[Columna4]]*EG$5/$DN$5)*$DV$4</f>
        <v>#DIV/0!</v>
      </c>
      <c r="EH30" s="303" t="e">
        <f>(Tabla2926[[#This Row],[Columna4]]*EH$5/$DN$5)*$DV$4</f>
        <v>#DIV/0!</v>
      </c>
      <c r="EJ30" s="531"/>
      <c r="EK30" s="531"/>
      <c r="EL30" s="396" t="e">
        <f>$AS$28</f>
        <v>#DIV/0!</v>
      </c>
      <c r="EM30" s="242" t="str">
        <f>Tabla2[[#This Row],[Columna1]]</f>
        <v>C23</v>
      </c>
      <c r="EN30" s="303" t="e">
        <f>Tabla29268[[#This Row],[Columna3]]/7</f>
        <v>#DIV/0!</v>
      </c>
      <c r="EO30" s="303" t="e">
        <f>Tabla29268[[#This Row],[Columna4]]/4.2</f>
        <v>#DIV/0!</v>
      </c>
      <c r="EP30" s="303" t="e">
        <f>Tabla2926[[#This Row],[Columna16]]</f>
        <v>#DIV/0!</v>
      </c>
      <c r="EQ30" s="303" t="e">
        <f>(Tabla29268[[#This Row],[Columna4]]*EQ$5/$EH$5)*$EP$4</f>
        <v>#DIV/0!</v>
      </c>
      <c r="ER30" s="303" t="e">
        <f>(Tabla29268[[#This Row],[Columna4]]*ER$5/$EH$5)*$EP$4</f>
        <v>#DIV/0!</v>
      </c>
      <c r="ES30" s="303" t="e">
        <f>(Tabla29268[[#This Row],[Columna4]]*ES$5/$EH$5)*$EP$4</f>
        <v>#DIV/0!</v>
      </c>
      <c r="ET30" s="303" t="e">
        <f>(Tabla29268[[#This Row],[Columna4]]*ET$5/$EH$5)*$EP$4</f>
        <v>#DIV/0!</v>
      </c>
      <c r="EU30" s="303" t="e">
        <f>(Tabla29268[[#This Row],[Columna4]]*EU$5/$EH$5)*$EP$4</f>
        <v>#DIV/0!</v>
      </c>
      <c r="EV30" s="303" t="e">
        <f>(Tabla29268[[#This Row],[Columna4]]*EV$5/$EH$5)*$EP$4</f>
        <v>#DIV/0!</v>
      </c>
      <c r="EW30" s="303" t="e">
        <f>(Tabla29268[[#This Row],[Columna4]]*EW$5/$EH$5)*$EP$4</f>
        <v>#DIV/0!</v>
      </c>
      <c r="EX30" s="303" t="e">
        <f>(Tabla29268[[#This Row],[Columna4]]*EX$5/$EH$5)*$EP$4</f>
        <v>#DIV/0!</v>
      </c>
      <c r="EY30" s="303" t="e">
        <f>(Tabla29268[[#This Row],[Columna4]]*EY$5/$EH$5)*$EP$4</f>
        <v>#DIV/0!</v>
      </c>
      <c r="EZ30" s="303" t="e">
        <f>(Tabla29268[[#This Row],[Columna4]]*EZ$5/$EH$5)*$EP$4</f>
        <v>#DIV/0!</v>
      </c>
      <c r="FA30" s="303" t="e">
        <f>(Tabla29268[[#This Row],[Columna4]]*FA$5/$EH$5)*$EP$4</f>
        <v>#DIV/0!</v>
      </c>
      <c r="FB30" s="303" t="e">
        <f>(Tabla29268[[#This Row],[Columna4]]*FB$5/$EH$5)*$EP$4</f>
        <v>#DIV/0!</v>
      </c>
      <c r="FE30" s="526"/>
      <c r="FF30" s="526"/>
      <c r="FG30" s="526"/>
      <c r="FH30" s="526"/>
      <c r="FI30" s="526"/>
      <c r="FJ30" s="526"/>
      <c r="FK30" s="526"/>
      <c r="FL30" s="526"/>
      <c r="FM30" s="526"/>
      <c r="FN30" s="526"/>
      <c r="FO30" s="526"/>
      <c r="FP30" s="526"/>
      <c r="FQ30" s="526"/>
      <c r="FR30" s="526"/>
      <c r="FS30" s="260"/>
      <c r="FX30" s="351"/>
      <c r="FY30" s="351"/>
      <c r="FZ30" s="351"/>
      <c r="GA30" s="351"/>
      <c r="GB30" s="351"/>
      <c r="GC30" s="351"/>
      <c r="GD30" s="351"/>
      <c r="GE30" s="351"/>
      <c r="GF30" s="351"/>
      <c r="GG30" s="351"/>
      <c r="GH30" s="351"/>
      <c r="GJ30" s="262"/>
      <c r="GL30" s="250">
        <f t="shared" si="131"/>
        <v>21</v>
      </c>
      <c r="GM30" s="352" t="s">
        <v>473</v>
      </c>
      <c r="GN30" s="353">
        <f t="shared" ref="GN30:GY30" si="193">FF144</f>
        <v>0</v>
      </c>
      <c r="GO30" s="353">
        <f t="shared" si="193"/>
        <v>0</v>
      </c>
      <c r="GP30" s="353">
        <f t="shared" si="193"/>
        <v>0</v>
      </c>
      <c r="GQ30" s="353">
        <f t="shared" si="193"/>
        <v>0</v>
      </c>
      <c r="GR30" s="353">
        <f t="shared" si="193"/>
        <v>0</v>
      </c>
      <c r="GS30" s="353">
        <f t="shared" si="193"/>
        <v>0</v>
      </c>
      <c r="GT30" s="353">
        <f t="shared" si="193"/>
        <v>0</v>
      </c>
      <c r="GU30" s="353">
        <f t="shared" si="193"/>
        <v>0</v>
      </c>
      <c r="GV30" s="353">
        <f t="shared" si="193"/>
        <v>0</v>
      </c>
      <c r="GW30" s="353">
        <f t="shared" si="193"/>
        <v>0</v>
      </c>
      <c r="GX30" s="353">
        <f t="shared" si="193"/>
        <v>0</v>
      </c>
      <c r="GY30" s="353">
        <f t="shared" si="193"/>
        <v>0</v>
      </c>
      <c r="GZ30" s="328">
        <f t="shared" si="125"/>
        <v>0</v>
      </c>
      <c r="HA30" s="329" t="e">
        <f t="shared" si="55"/>
        <v>#DIV/0!</v>
      </c>
      <c r="HD30" s="65" t="s">
        <v>810</v>
      </c>
      <c r="HE30" s="66">
        <v>0</v>
      </c>
      <c r="HF30" s="67">
        <f t="shared" si="77"/>
        <v>0</v>
      </c>
      <c r="HG30" s="68">
        <f t="shared" si="78"/>
        <v>0</v>
      </c>
      <c r="HH30" s="69">
        <v>1</v>
      </c>
      <c r="HI30" s="367">
        <v>0</v>
      </c>
      <c r="HJ30" s="140"/>
      <c r="HM30" s="283"/>
      <c r="HN30" s="316"/>
      <c r="HO30" s="285"/>
      <c r="HP30" s="316"/>
      <c r="HQ30" s="285"/>
      <c r="HR30" s="316"/>
      <c r="HS30" s="285"/>
      <c r="HT30" s="316"/>
      <c r="HU30" s="285"/>
      <c r="HV30" s="316"/>
      <c r="HW30" s="285"/>
      <c r="HX30" s="316"/>
      <c r="HY30" s="285"/>
      <c r="HZ30" s="316"/>
      <c r="IA30" s="285"/>
      <c r="IB30" s="316"/>
      <c r="IC30" s="285"/>
      <c r="ID30" s="316"/>
      <c r="IE30" s="285"/>
      <c r="IF30" s="316"/>
      <c r="IG30" s="285"/>
      <c r="IH30" s="316"/>
      <c r="II30" s="285"/>
      <c r="IJ30" s="316"/>
      <c r="IK30" s="285"/>
      <c r="IL30" s="288"/>
      <c r="IM30" s="285"/>
    </row>
    <row r="31" spans="2:247" ht="14.4" customHeight="1" x14ac:dyDescent="0.3">
      <c r="C31" s="44" t="s">
        <v>763</v>
      </c>
      <c r="D31" s="15">
        <f>$D$29*B21</f>
        <v>0</v>
      </c>
      <c r="E31" s="15">
        <f t="shared" si="165"/>
        <v>0</v>
      </c>
      <c r="F31" s="15">
        <f t="shared" si="166"/>
        <v>0</v>
      </c>
      <c r="I31" s="44" t="s">
        <v>365</v>
      </c>
      <c r="J31" s="109">
        <f>D44/J28</f>
        <v>0</v>
      </c>
      <c r="K31" s="13"/>
      <c r="L31" s="13"/>
      <c r="M31" s="13"/>
      <c r="X31" s="335" t="e">
        <f t="shared" si="181"/>
        <v>#DIV/0!</v>
      </c>
      <c r="Y31" s="336" t="s">
        <v>327</v>
      </c>
      <c r="Z31" s="389">
        <f t="shared" si="182"/>
        <v>0</v>
      </c>
      <c r="AA31" s="299">
        <v>35.2273</v>
      </c>
      <c r="AB31" s="339">
        <f t="shared" si="183"/>
        <v>0</v>
      </c>
      <c r="AD31" s="336" t="str">
        <f t="shared" si="184"/>
        <v>Octubre</v>
      </c>
      <c r="AE31" s="340">
        <f t="shared" si="185"/>
        <v>3.2600000000000002</v>
      </c>
      <c r="AG31" s="390">
        <v>0</v>
      </c>
      <c r="AM31" s="394">
        <f t="shared" si="5"/>
        <v>0</v>
      </c>
      <c r="AN31" s="394">
        <f t="shared" si="6"/>
        <v>0</v>
      </c>
      <c r="AO31" s="394">
        <f t="shared" si="7"/>
        <v>0</v>
      </c>
      <c r="AP31" s="394">
        <f t="shared" si="8"/>
        <v>0</v>
      </c>
      <c r="AQ31" s="395" t="s">
        <v>811</v>
      </c>
      <c r="AR31" s="297">
        <f t="shared" si="9"/>
        <v>0</v>
      </c>
      <c r="AS31" s="396" t="e">
        <f t="shared" si="2"/>
        <v>#DIV/0!</v>
      </c>
      <c r="AT31" s="531"/>
      <c r="AU31" s="531"/>
      <c r="AV31" s="299">
        <v>0</v>
      </c>
      <c r="AW31" s="300">
        <v>0</v>
      </c>
      <c r="AX31" s="301"/>
      <c r="AY31" s="302" t="str">
        <f t="shared" si="145"/>
        <v>Enero</v>
      </c>
      <c r="AZ31" s="385">
        <f>Tabla24[[#Totals],[Columna14]]</f>
        <v>0</v>
      </c>
      <c r="BA31" s="385" t="e">
        <f>Tabla2410[[#Totals],[Columna14]]</f>
        <v>#DIV/0!</v>
      </c>
      <c r="BB31" s="385" t="e">
        <f>Tabla24105[[#Totals],[Columna14]]</f>
        <v>#DIV/0!</v>
      </c>
      <c r="BC31" s="385" t="e">
        <f>Tabla241057[[#Totals],[Columna14]]</f>
        <v>#DIV/0!</v>
      </c>
      <c r="BD31" s="385" t="e">
        <f>Tabla24105711[[#Totals],[Columna14]]</f>
        <v>#DIV/0!</v>
      </c>
      <c r="BE31" s="386" t="e">
        <f t="shared" si="146"/>
        <v>#DIV/0!</v>
      </c>
      <c r="BF31" s="305" t="e">
        <f t="shared" si="147"/>
        <v>#DIV/0!</v>
      </c>
      <c r="BH31" s="531"/>
      <c r="BI31" s="531"/>
      <c r="BJ31" s="396" t="e">
        <f>$AS$29</f>
        <v>#DIV/0!</v>
      </c>
      <c r="BK31" s="242" t="str">
        <f t="shared" si="19"/>
        <v>C24</v>
      </c>
      <c r="BL31" s="303">
        <f t="shared" si="20"/>
        <v>0</v>
      </c>
      <c r="BM31" s="303">
        <f t="shared" si="20"/>
        <v>0</v>
      </c>
      <c r="BN31" s="303">
        <f t="shared" si="20"/>
        <v>0</v>
      </c>
      <c r="BO31" s="303">
        <f t="shared" si="21"/>
        <v>0</v>
      </c>
      <c r="BP31" s="303">
        <f t="shared" si="22"/>
        <v>0</v>
      </c>
      <c r="BQ31" s="303">
        <f t="shared" si="23"/>
        <v>0</v>
      </c>
      <c r="BR31" s="303">
        <f t="shared" si="24"/>
        <v>0</v>
      </c>
      <c r="BS31" s="303">
        <f t="shared" si="25"/>
        <v>0</v>
      </c>
      <c r="BT31" s="303">
        <f t="shared" si="26"/>
        <v>0</v>
      </c>
      <c r="BU31" s="303">
        <f t="shared" si="27"/>
        <v>0</v>
      </c>
      <c r="BV31" s="303">
        <f t="shared" si="28"/>
        <v>0</v>
      </c>
      <c r="BW31" s="303">
        <f t="shared" si="29"/>
        <v>0</v>
      </c>
      <c r="BX31" s="303">
        <f t="shared" si="30"/>
        <v>0</v>
      </c>
      <c r="BY31" s="303">
        <f t="shared" si="31"/>
        <v>0</v>
      </c>
      <c r="BZ31" s="303">
        <f t="shared" si="32"/>
        <v>0</v>
      </c>
      <c r="CB31" s="531"/>
      <c r="CC31" s="531"/>
      <c r="CD31" s="396" t="e">
        <f>$AS$29</f>
        <v>#DIV/0!</v>
      </c>
      <c r="CE31" s="242" t="str">
        <f>Tabla2[[#This Row],[Columna1]]</f>
        <v>C24</v>
      </c>
      <c r="CF31" s="303">
        <f>Tabla29[[#This Row],[Columna3]]/7</f>
        <v>0</v>
      </c>
      <c r="CG31" s="303">
        <f>Tabla29[[#This Row],[Columna4]]/4.2</f>
        <v>0</v>
      </c>
      <c r="CH31" s="303">
        <f>Tabla2[[#This Row],[Columna16]]</f>
        <v>0</v>
      </c>
      <c r="CI31" s="303" t="e">
        <f>(Tabla29[[#This Row],[Columna4]]*CI$5/$BZ$5)*$CH$4</f>
        <v>#DIV/0!</v>
      </c>
      <c r="CJ31" s="303" t="e">
        <f>(Tabla29[[#This Row],[Columna4]]*CJ$5/$BZ$5)*$CH$4</f>
        <v>#DIV/0!</v>
      </c>
      <c r="CK31" s="303" t="e">
        <f>(Tabla29[[#This Row],[Columna4]]*CK$5/$BZ$5)*$CH$4</f>
        <v>#DIV/0!</v>
      </c>
      <c r="CL31" s="303" t="e">
        <f>(Tabla29[[#This Row],[Columna4]]*CL$5/$BZ$5)*$CH$4</f>
        <v>#DIV/0!</v>
      </c>
      <c r="CM31" s="303" t="e">
        <f>(Tabla29[[#This Row],[Columna4]]*CM$5/$BZ$5)*$CH$4</f>
        <v>#DIV/0!</v>
      </c>
      <c r="CN31" s="303" t="e">
        <f>(Tabla29[[#This Row],[Columna4]]*CN$5/$BZ$5)*$CH$4</f>
        <v>#DIV/0!</v>
      </c>
      <c r="CO31" s="303" t="e">
        <f>(Tabla29[[#This Row],[Columna4]]*CO$5/$BZ$5)*$CH$4</f>
        <v>#DIV/0!</v>
      </c>
      <c r="CP31" s="303" t="e">
        <f>(Tabla29[[#This Row],[Columna4]]*CP$5/$BZ$5)*$CH$4</f>
        <v>#DIV/0!</v>
      </c>
      <c r="CQ31" s="303" t="e">
        <f>(Tabla29[[#This Row],[Columna4]]*CQ$5/$BZ$5)*$CH$4</f>
        <v>#DIV/0!</v>
      </c>
      <c r="CR31" s="303" t="e">
        <f>(Tabla29[[#This Row],[Columna4]]*CR$5/$BZ$5)*$CH$4</f>
        <v>#DIV/0!</v>
      </c>
      <c r="CS31" s="303" t="e">
        <f>(Tabla29[[#This Row],[Columna4]]*CS$5/$BZ$5)*$CH$4</f>
        <v>#DIV/0!</v>
      </c>
      <c r="CT31" s="303" t="e">
        <f>(Tabla29[[#This Row],[Columna4]]*CT$5/$BZ$5)*$CH$4</f>
        <v>#DIV/0!</v>
      </c>
      <c r="CV31" s="531"/>
      <c r="CW31" s="531"/>
      <c r="CX31" s="396" t="e">
        <f>$AS$29</f>
        <v>#DIV/0!</v>
      </c>
      <c r="CY31" s="242" t="str">
        <f>Tabla2[[#This Row],[Columna1]]</f>
        <v>C24</v>
      </c>
      <c r="CZ31" s="303" t="e">
        <f>Tabla292[[#This Row],[Columna3]]/7</f>
        <v>#DIV/0!</v>
      </c>
      <c r="DA31" s="303" t="e">
        <f>Tabla292[[#This Row],[Columna4]]/4.2</f>
        <v>#DIV/0!</v>
      </c>
      <c r="DB31" s="303" t="e">
        <f>Tabla29[[#This Row],[Columna16]]</f>
        <v>#DIV/0!</v>
      </c>
      <c r="DC31" s="303" t="e">
        <f>(Tabla292[[#This Row],[Columna4]]*DC$5/$CT$5)*$DB$4</f>
        <v>#DIV/0!</v>
      </c>
      <c r="DD31" s="303" t="e">
        <f>(Tabla292[[#This Row],[Columna4]]*DD$5/$CT$5)*$DB$4</f>
        <v>#DIV/0!</v>
      </c>
      <c r="DE31" s="303" t="e">
        <f>(Tabla292[[#This Row],[Columna4]]*DE$5/$CT$5)*$DB$4</f>
        <v>#DIV/0!</v>
      </c>
      <c r="DF31" s="303" t="e">
        <f>(Tabla292[[#This Row],[Columna4]]*DF$5/$CT$5)*$DB$4</f>
        <v>#DIV/0!</v>
      </c>
      <c r="DG31" s="303" t="e">
        <f>(Tabla292[[#This Row],[Columna4]]*DG$5/$CT$5)*$DB$4</f>
        <v>#DIV/0!</v>
      </c>
      <c r="DH31" s="303" t="e">
        <f>(Tabla292[[#This Row],[Columna4]]*DH$5/$CT$5)*$DB$4</f>
        <v>#DIV/0!</v>
      </c>
      <c r="DI31" s="303" t="e">
        <f>(Tabla292[[#This Row],[Columna4]]*DI$5/$CT$5)*$DB$4</f>
        <v>#DIV/0!</v>
      </c>
      <c r="DJ31" s="303" t="e">
        <f>(Tabla292[[#This Row],[Columna4]]*DJ$5/$CT$5)*$DB$4</f>
        <v>#DIV/0!</v>
      </c>
      <c r="DK31" s="303" t="e">
        <f>(Tabla292[[#This Row],[Columna4]]*DK$5/$CT$5)*$DB$4</f>
        <v>#DIV/0!</v>
      </c>
      <c r="DL31" s="303" t="e">
        <f>(Tabla292[[#This Row],[Columna4]]*DL$5/$CT$5)*$DB$4</f>
        <v>#DIV/0!</v>
      </c>
      <c r="DM31" s="303" t="e">
        <f>(Tabla292[[#This Row],[Columna4]]*DM$5/$CT$5)*$DB$4</f>
        <v>#DIV/0!</v>
      </c>
      <c r="DN31" s="303" t="e">
        <f>(Tabla292[[#This Row],[Columna4]]*DN$5/$CT$5)*$DB$4</f>
        <v>#DIV/0!</v>
      </c>
      <c r="DP31" s="531"/>
      <c r="DQ31" s="531"/>
      <c r="DR31" s="396" t="e">
        <f>$AS$29</f>
        <v>#DIV/0!</v>
      </c>
      <c r="DS31" s="242" t="str">
        <f>Tabla2[[#This Row],[Columna1]]</f>
        <v>C24</v>
      </c>
      <c r="DT31" s="303" t="e">
        <f>Tabla2926[[#This Row],[Columna3]]/7</f>
        <v>#DIV/0!</v>
      </c>
      <c r="DU31" s="303" t="e">
        <f>Tabla2926[[#This Row],[Columna4]]/4.2</f>
        <v>#DIV/0!</v>
      </c>
      <c r="DV31" s="303" t="e">
        <f>Tabla292[[#This Row],[Columna16]]</f>
        <v>#DIV/0!</v>
      </c>
      <c r="DW31" s="303" t="e">
        <f>(Tabla2926[[#This Row],[Columna4]]*DW$5/$DN$5)*$DV$4</f>
        <v>#DIV/0!</v>
      </c>
      <c r="DX31" s="303" t="e">
        <f>(Tabla2926[[#This Row],[Columna4]]*DX$5/$DN$5)*$DV$4</f>
        <v>#DIV/0!</v>
      </c>
      <c r="DY31" s="303" t="e">
        <f>(Tabla2926[[#This Row],[Columna4]]*DY$5/$DN$5)*$DV$4</f>
        <v>#DIV/0!</v>
      </c>
      <c r="DZ31" s="303" t="e">
        <f>(Tabla2926[[#This Row],[Columna4]]*DZ$5/$DN$5)*$DV$4</f>
        <v>#DIV/0!</v>
      </c>
      <c r="EA31" s="303" t="e">
        <f>(Tabla2926[[#This Row],[Columna4]]*EA$5/$DN$5)*$DV$4</f>
        <v>#DIV/0!</v>
      </c>
      <c r="EB31" s="303" t="e">
        <f>(Tabla2926[[#This Row],[Columna4]]*EB$5/$DN$5)*$DV$4</f>
        <v>#DIV/0!</v>
      </c>
      <c r="EC31" s="303" t="e">
        <f>(Tabla2926[[#This Row],[Columna4]]*EC$5/$DN$5)*$DV$4</f>
        <v>#DIV/0!</v>
      </c>
      <c r="ED31" s="303" t="e">
        <f>(Tabla2926[[#This Row],[Columna4]]*ED$5/$DN$5)*$DV$4</f>
        <v>#DIV/0!</v>
      </c>
      <c r="EE31" s="303" t="e">
        <f>(Tabla2926[[#This Row],[Columna4]]*EE$5/$DN$5)*$DV$4</f>
        <v>#DIV/0!</v>
      </c>
      <c r="EF31" s="303" t="e">
        <f>(Tabla2926[[#This Row],[Columna4]]*EF$5/$DN$5)*$DV$4</f>
        <v>#DIV/0!</v>
      </c>
      <c r="EG31" s="303" t="e">
        <f>(Tabla2926[[#This Row],[Columna4]]*EG$5/$DN$5)*$DV$4</f>
        <v>#DIV/0!</v>
      </c>
      <c r="EH31" s="303" t="e">
        <f>(Tabla2926[[#This Row],[Columna4]]*EH$5/$DN$5)*$DV$4</f>
        <v>#DIV/0!</v>
      </c>
      <c r="EJ31" s="531"/>
      <c r="EK31" s="531"/>
      <c r="EL31" s="396" t="e">
        <f>$AS$29</f>
        <v>#DIV/0!</v>
      </c>
      <c r="EM31" s="242" t="str">
        <f>Tabla2[[#This Row],[Columna1]]</f>
        <v>C24</v>
      </c>
      <c r="EN31" s="303" t="e">
        <f>Tabla29268[[#This Row],[Columna3]]/7</f>
        <v>#DIV/0!</v>
      </c>
      <c r="EO31" s="303" t="e">
        <f>Tabla29268[[#This Row],[Columna4]]/4.2</f>
        <v>#DIV/0!</v>
      </c>
      <c r="EP31" s="303" t="e">
        <f>Tabla2926[[#This Row],[Columna16]]</f>
        <v>#DIV/0!</v>
      </c>
      <c r="EQ31" s="303" t="e">
        <f>(Tabla29268[[#This Row],[Columna4]]*EQ$5/$EH$5)*$EP$4</f>
        <v>#DIV/0!</v>
      </c>
      <c r="ER31" s="303" t="e">
        <f>(Tabla29268[[#This Row],[Columna4]]*ER$5/$EH$5)*$EP$4</f>
        <v>#DIV/0!</v>
      </c>
      <c r="ES31" s="303" t="e">
        <f>(Tabla29268[[#This Row],[Columna4]]*ES$5/$EH$5)*$EP$4</f>
        <v>#DIV/0!</v>
      </c>
      <c r="ET31" s="303" t="e">
        <f>(Tabla29268[[#This Row],[Columna4]]*ET$5/$EH$5)*$EP$4</f>
        <v>#DIV/0!</v>
      </c>
      <c r="EU31" s="303" t="e">
        <f>(Tabla29268[[#This Row],[Columna4]]*EU$5/$EH$5)*$EP$4</f>
        <v>#DIV/0!</v>
      </c>
      <c r="EV31" s="303" t="e">
        <f>(Tabla29268[[#This Row],[Columna4]]*EV$5/$EH$5)*$EP$4</f>
        <v>#DIV/0!</v>
      </c>
      <c r="EW31" s="303" t="e">
        <f>(Tabla29268[[#This Row],[Columna4]]*EW$5/$EH$5)*$EP$4</f>
        <v>#DIV/0!</v>
      </c>
      <c r="EX31" s="303" t="e">
        <f>(Tabla29268[[#This Row],[Columna4]]*EX$5/$EH$5)*$EP$4</f>
        <v>#DIV/0!</v>
      </c>
      <c r="EY31" s="303" t="e">
        <f>(Tabla29268[[#This Row],[Columna4]]*EY$5/$EH$5)*$EP$4</f>
        <v>#DIV/0!</v>
      </c>
      <c r="EZ31" s="303" t="e">
        <f>(Tabla29268[[#This Row],[Columna4]]*EZ$5/$EH$5)*$EP$4</f>
        <v>#DIV/0!</v>
      </c>
      <c r="FA31" s="303" t="e">
        <f>(Tabla29268[[#This Row],[Columna4]]*FA$5/$EH$5)*$EP$4</f>
        <v>#DIV/0!</v>
      </c>
      <c r="FB31" s="303" t="e">
        <f>(Tabla29268[[#This Row],[Columna4]]*FB$5/$EH$5)*$EP$4</f>
        <v>#DIV/0!</v>
      </c>
      <c r="FG31" s="351"/>
      <c r="FH31" s="351"/>
      <c r="FI31" s="351"/>
      <c r="FJ31" s="351"/>
      <c r="FK31" s="351"/>
      <c r="FL31" s="351"/>
      <c r="FM31" s="351"/>
      <c r="FN31" s="351"/>
      <c r="FO31" s="351"/>
      <c r="FP31" s="351"/>
      <c r="FQ31" s="351"/>
      <c r="FS31" s="260"/>
      <c r="FX31" s="351"/>
      <c r="FY31" s="351"/>
      <c r="FZ31" s="351"/>
      <c r="GA31" s="351"/>
      <c r="GB31" s="351"/>
      <c r="GC31" s="351"/>
      <c r="GD31" s="351"/>
      <c r="GE31" s="351"/>
      <c r="GF31" s="351"/>
      <c r="GG31" s="351"/>
      <c r="GH31" s="351"/>
      <c r="GJ31" s="262"/>
      <c r="GL31" s="250">
        <f t="shared" si="131"/>
        <v>22</v>
      </c>
      <c r="GM31" s="352" t="s">
        <v>474</v>
      </c>
      <c r="GN31" s="353">
        <f t="shared" ref="GN31:GY31" si="194">FF147</f>
        <v>0</v>
      </c>
      <c r="GO31" s="353">
        <f t="shared" si="194"/>
        <v>0</v>
      </c>
      <c r="GP31" s="353">
        <f t="shared" si="194"/>
        <v>0</v>
      </c>
      <c r="GQ31" s="353">
        <f t="shared" si="194"/>
        <v>0</v>
      </c>
      <c r="GR31" s="353">
        <f t="shared" si="194"/>
        <v>0</v>
      </c>
      <c r="GS31" s="353">
        <f t="shared" si="194"/>
        <v>0</v>
      </c>
      <c r="GT31" s="353">
        <f t="shared" si="194"/>
        <v>0</v>
      </c>
      <c r="GU31" s="353">
        <f t="shared" si="194"/>
        <v>0</v>
      </c>
      <c r="GV31" s="353">
        <f t="shared" si="194"/>
        <v>0</v>
      </c>
      <c r="GW31" s="353">
        <f t="shared" si="194"/>
        <v>0</v>
      </c>
      <c r="GX31" s="353">
        <f t="shared" si="194"/>
        <v>0</v>
      </c>
      <c r="GY31" s="353">
        <f t="shared" si="194"/>
        <v>0</v>
      </c>
      <c r="GZ31" s="328">
        <f t="shared" si="125"/>
        <v>0</v>
      </c>
      <c r="HA31" s="329" t="e">
        <f t="shared" si="55"/>
        <v>#DIV/0!</v>
      </c>
      <c r="HB31" s="244" t="b">
        <f>GZ31=FR147</f>
        <v>1</v>
      </c>
      <c r="HD31" s="65" t="s">
        <v>812</v>
      </c>
      <c r="HE31" s="66">
        <v>0</v>
      </c>
      <c r="HF31" s="67">
        <f t="shared" si="77"/>
        <v>0</v>
      </c>
      <c r="HG31" s="68">
        <f t="shared" si="78"/>
        <v>0</v>
      </c>
      <c r="HH31" s="69">
        <v>1</v>
      </c>
      <c r="HI31" s="367">
        <v>0</v>
      </c>
      <c r="HJ31" s="140"/>
      <c r="HM31" s="330" t="s">
        <v>594</v>
      </c>
      <c r="HN31" s="316">
        <f>$FF$19</f>
        <v>0</v>
      </c>
      <c r="HO31" s="354" t="e">
        <f>+HN31/HN9</f>
        <v>#DIV/0!</v>
      </c>
      <c r="HP31" s="316">
        <f>$FG$19</f>
        <v>0</v>
      </c>
      <c r="HQ31" s="354" t="e">
        <f>+HP31/HP9</f>
        <v>#DIV/0!</v>
      </c>
      <c r="HR31" s="316">
        <f>$FH$19</f>
        <v>0</v>
      </c>
      <c r="HS31" s="354" t="e">
        <f>+HR31/HR9</f>
        <v>#DIV/0!</v>
      </c>
      <c r="HT31" s="316">
        <f>$FI$19</f>
        <v>0</v>
      </c>
      <c r="HU31" s="354" t="e">
        <f>+HT31/HT9</f>
        <v>#DIV/0!</v>
      </c>
      <c r="HV31" s="316">
        <f>$FJ$19</f>
        <v>0</v>
      </c>
      <c r="HW31" s="354" t="e">
        <f>+HV31/HV9</f>
        <v>#DIV/0!</v>
      </c>
      <c r="HX31" s="316">
        <f>$FK$19</f>
        <v>0</v>
      </c>
      <c r="HY31" s="354" t="e">
        <f>+HX31/HX9</f>
        <v>#DIV/0!</v>
      </c>
      <c r="HZ31" s="316">
        <f>$FL$19</f>
        <v>0</v>
      </c>
      <c r="IA31" s="354" t="e">
        <f>+HZ31/HZ9</f>
        <v>#DIV/0!</v>
      </c>
      <c r="IB31" s="316">
        <f>$FM$19</f>
        <v>0</v>
      </c>
      <c r="IC31" s="354" t="e">
        <f>+IB31/IB9</f>
        <v>#DIV/0!</v>
      </c>
      <c r="ID31" s="316">
        <f>$FN$19</f>
        <v>0</v>
      </c>
      <c r="IE31" s="354" t="e">
        <f>+ID31/ID9</f>
        <v>#DIV/0!</v>
      </c>
      <c r="IF31" s="316">
        <f>$FO$19</f>
        <v>0</v>
      </c>
      <c r="IG31" s="354" t="e">
        <f>+IF31/IF9</f>
        <v>#DIV/0!</v>
      </c>
      <c r="IH31" s="316">
        <f>$FP$19</f>
        <v>0</v>
      </c>
      <c r="II31" s="354" t="e">
        <f>+IH31/IH9</f>
        <v>#DIV/0!</v>
      </c>
      <c r="IJ31" s="316">
        <f>$FQ$19</f>
        <v>0</v>
      </c>
      <c r="IK31" s="354" t="e">
        <f>+IJ31/IJ9</f>
        <v>#DIV/0!</v>
      </c>
      <c r="IL31" s="333">
        <f>HN31+HP31+HR31+HT31+HV31+HX31+HZ31+IB31+ID31+IF31+IH31+IJ31</f>
        <v>0</v>
      </c>
      <c r="IM31" s="354" t="e">
        <f>+IL31/IL9</f>
        <v>#DIV/0!</v>
      </c>
    </row>
    <row r="32" spans="2:247" ht="14.4" customHeight="1" x14ac:dyDescent="0.3">
      <c r="C32" s="44" t="s">
        <v>762</v>
      </c>
      <c r="D32" s="15">
        <f>$D$29*B22</f>
        <v>0</v>
      </c>
      <c r="E32" s="15">
        <f t="shared" si="165"/>
        <v>0</v>
      </c>
      <c r="F32" s="15">
        <f t="shared" si="166"/>
        <v>0</v>
      </c>
      <c r="I32" s="44" t="s">
        <v>367</v>
      </c>
      <c r="J32" s="109">
        <f>J30/30.42</f>
        <v>0</v>
      </c>
      <c r="K32" s="13"/>
      <c r="L32" s="13"/>
      <c r="M32" s="13"/>
      <c r="X32" s="335" t="e">
        <f t="shared" si="181"/>
        <v>#DIV/0!</v>
      </c>
      <c r="Y32" s="336" t="s">
        <v>328</v>
      </c>
      <c r="Z32" s="389">
        <f t="shared" si="182"/>
        <v>0</v>
      </c>
      <c r="AA32" s="299">
        <v>35.2866</v>
      </c>
      <c r="AB32" s="339">
        <f t="shared" si="183"/>
        <v>0</v>
      </c>
      <c r="AD32" s="336" t="str">
        <f t="shared" si="184"/>
        <v>Noviembre</v>
      </c>
      <c r="AE32" s="340">
        <f t="shared" si="185"/>
        <v>3.7100000000000004</v>
      </c>
      <c r="AG32" s="390">
        <v>0</v>
      </c>
      <c r="AM32" s="394">
        <f t="shared" si="5"/>
        <v>0</v>
      </c>
      <c r="AN32" s="394">
        <f t="shared" si="6"/>
        <v>0</v>
      </c>
      <c r="AO32" s="394">
        <f t="shared" si="7"/>
        <v>0</v>
      </c>
      <c r="AP32" s="394">
        <f t="shared" si="8"/>
        <v>0</v>
      </c>
      <c r="AQ32" s="395" t="s">
        <v>813</v>
      </c>
      <c r="AR32" s="297">
        <f t="shared" si="9"/>
        <v>0</v>
      </c>
      <c r="AS32" s="396" t="e">
        <f t="shared" si="2"/>
        <v>#DIV/0!</v>
      </c>
      <c r="AT32" s="531"/>
      <c r="AU32" s="531"/>
      <c r="AV32" s="299">
        <v>0</v>
      </c>
      <c r="AW32" s="300">
        <v>0</v>
      </c>
      <c r="AX32" s="301"/>
      <c r="AY32" s="302" t="str">
        <f t="shared" si="145"/>
        <v>Febrero</v>
      </c>
      <c r="AZ32" s="385">
        <f>Tabla24[[#Totals],[Columna15]]</f>
        <v>0</v>
      </c>
      <c r="BA32" s="385" t="e">
        <f>Tabla2410[[#Totals],[Columna15]]</f>
        <v>#DIV/0!</v>
      </c>
      <c r="BB32" s="385" t="e">
        <f>Tabla24105[[#Totals],[Columna15]]</f>
        <v>#DIV/0!</v>
      </c>
      <c r="BC32" s="385" t="e">
        <f>Tabla241057[[#Totals],[Columna15]]</f>
        <v>#DIV/0!</v>
      </c>
      <c r="BD32" s="385" t="e">
        <f>Tabla24105711[[#Totals],[Columna15]]</f>
        <v>#DIV/0!</v>
      </c>
      <c r="BE32" s="386" t="e">
        <f t="shared" si="146"/>
        <v>#DIV/0!</v>
      </c>
      <c r="BF32" s="305" t="e">
        <f t="shared" si="147"/>
        <v>#DIV/0!</v>
      </c>
      <c r="BH32" s="531"/>
      <c r="BI32" s="531"/>
      <c r="BJ32" s="396" t="e">
        <f>$AS$30</f>
        <v>#DIV/0!</v>
      </c>
      <c r="BK32" s="242" t="str">
        <f t="shared" si="19"/>
        <v>C25</v>
      </c>
      <c r="BL32" s="303">
        <f t="shared" si="20"/>
        <v>0</v>
      </c>
      <c r="BM32" s="303">
        <f t="shared" si="20"/>
        <v>0</v>
      </c>
      <c r="BN32" s="303">
        <f t="shared" si="20"/>
        <v>0</v>
      </c>
      <c r="BO32" s="303">
        <f t="shared" si="21"/>
        <v>0</v>
      </c>
      <c r="BP32" s="303">
        <f t="shared" si="22"/>
        <v>0</v>
      </c>
      <c r="BQ32" s="303">
        <f t="shared" si="23"/>
        <v>0</v>
      </c>
      <c r="BR32" s="303">
        <f t="shared" si="24"/>
        <v>0</v>
      </c>
      <c r="BS32" s="303">
        <f t="shared" si="25"/>
        <v>0</v>
      </c>
      <c r="BT32" s="303">
        <f t="shared" si="26"/>
        <v>0</v>
      </c>
      <c r="BU32" s="303">
        <f t="shared" si="27"/>
        <v>0</v>
      </c>
      <c r="BV32" s="303">
        <f t="shared" si="28"/>
        <v>0</v>
      </c>
      <c r="BW32" s="303">
        <f t="shared" si="29"/>
        <v>0</v>
      </c>
      <c r="BX32" s="303">
        <f t="shared" si="30"/>
        <v>0</v>
      </c>
      <c r="BY32" s="303">
        <f t="shared" si="31"/>
        <v>0</v>
      </c>
      <c r="BZ32" s="303">
        <f t="shared" si="32"/>
        <v>0</v>
      </c>
      <c r="CB32" s="531"/>
      <c r="CC32" s="531"/>
      <c r="CD32" s="396" t="e">
        <f>$AS$30</f>
        <v>#DIV/0!</v>
      </c>
      <c r="CE32" s="242" t="str">
        <f>Tabla2[[#This Row],[Columna1]]</f>
        <v>C25</v>
      </c>
      <c r="CF32" s="303">
        <f>Tabla29[[#This Row],[Columna3]]/7</f>
        <v>0</v>
      </c>
      <c r="CG32" s="303">
        <f>Tabla29[[#This Row],[Columna4]]/4.2</f>
        <v>0</v>
      </c>
      <c r="CH32" s="303">
        <f>Tabla2[[#This Row],[Columna16]]</f>
        <v>0</v>
      </c>
      <c r="CI32" s="303" t="e">
        <f>(Tabla29[[#This Row],[Columna4]]*CI$5/$BZ$5)*$CH$4</f>
        <v>#DIV/0!</v>
      </c>
      <c r="CJ32" s="303" t="e">
        <f>(Tabla29[[#This Row],[Columna4]]*CJ$5/$BZ$5)*$CH$4</f>
        <v>#DIV/0!</v>
      </c>
      <c r="CK32" s="303" t="e">
        <f>(Tabla29[[#This Row],[Columna4]]*CK$5/$BZ$5)*$CH$4</f>
        <v>#DIV/0!</v>
      </c>
      <c r="CL32" s="303" t="e">
        <f>(Tabla29[[#This Row],[Columna4]]*CL$5/$BZ$5)*$CH$4</f>
        <v>#DIV/0!</v>
      </c>
      <c r="CM32" s="303" t="e">
        <f>(Tabla29[[#This Row],[Columna4]]*CM$5/$BZ$5)*$CH$4</f>
        <v>#DIV/0!</v>
      </c>
      <c r="CN32" s="303" t="e">
        <f>(Tabla29[[#This Row],[Columna4]]*CN$5/$BZ$5)*$CH$4</f>
        <v>#DIV/0!</v>
      </c>
      <c r="CO32" s="303" t="e">
        <f>(Tabla29[[#This Row],[Columna4]]*CO$5/$BZ$5)*$CH$4</f>
        <v>#DIV/0!</v>
      </c>
      <c r="CP32" s="303" t="e">
        <f>(Tabla29[[#This Row],[Columna4]]*CP$5/$BZ$5)*$CH$4</f>
        <v>#DIV/0!</v>
      </c>
      <c r="CQ32" s="303" t="e">
        <f>(Tabla29[[#This Row],[Columna4]]*CQ$5/$BZ$5)*$CH$4</f>
        <v>#DIV/0!</v>
      </c>
      <c r="CR32" s="303" t="e">
        <f>(Tabla29[[#This Row],[Columna4]]*CR$5/$BZ$5)*$CH$4</f>
        <v>#DIV/0!</v>
      </c>
      <c r="CS32" s="303" t="e">
        <f>(Tabla29[[#This Row],[Columna4]]*CS$5/$BZ$5)*$CH$4</f>
        <v>#DIV/0!</v>
      </c>
      <c r="CT32" s="303" t="e">
        <f>(Tabla29[[#This Row],[Columna4]]*CT$5/$BZ$5)*$CH$4</f>
        <v>#DIV/0!</v>
      </c>
      <c r="CV32" s="531"/>
      <c r="CW32" s="531"/>
      <c r="CX32" s="396" t="e">
        <f>$AS$30</f>
        <v>#DIV/0!</v>
      </c>
      <c r="CY32" s="242" t="str">
        <f>Tabla2[[#This Row],[Columna1]]</f>
        <v>C25</v>
      </c>
      <c r="CZ32" s="303" t="e">
        <f>Tabla292[[#This Row],[Columna3]]/7</f>
        <v>#DIV/0!</v>
      </c>
      <c r="DA32" s="303" t="e">
        <f>Tabla292[[#This Row],[Columna4]]/4.2</f>
        <v>#DIV/0!</v>
      </c>
      <c r="DB32" s="303" t="e">
        <f>Tabla29[[#This Row],[Columna16]]</f>
        <v>#DIV/0!</v>
      </c>
      <c r="DC32" s="303" t="e">
        <f>(Tabla292[[#This Row],[Columna4]]*DC$5/$CT$5)*$DB$4</f>
        <v>#DIV/0!</v>
      </c>
      <c r="DD32" s="303" t="e">
        <f>(Tabla292[[#This Row],[Columna4]]*DD$5/$CT$5)*$DB$4</f>
        <v>#DIV/0!</v>
      </c>
      <c r="DE32" s="303" t="e">
        <f>(Tabla292[[#This Row],[Columna4]]*DE$5/$CT$5)*$DB$4</f>
        <v>#DIV/0!</v>
      </c>
      <c r="DF32" s="303" t="e">
        <f>(Tabla292[[#This Row],[Columna4]]*DF$5/$CT$5)*$DB$4</f>
        <v>#DIV/0!</v>
      </c>
      <c r="DG32" s="303" t="e">
        <f>(Tabla292[[#This Row],[Columna4]]*DG$5/$CT$5)*$DB$4</f>
        <v>#DIV/0!</v>
      </c>
      <c r="DH32" s="303" t="e">
        <f>(Tabla292[[#This Row],[Columna4]]*DH$5/$CT$5)*$DB$4</f>
        <v>#DIV/0!</v>
      </c>
      <c r="DI32" s="303" t="e">
        <f>(Tabla292[[#This Row],[Columna4]]*DI$5/$CT$5)*$DB$4</f>
        <v>#DIV/0!</v>
      </c>
      <c r="DJ32" s="303" t="e">
        <f>(Tabla292[[#This Row],[Columna4]]*DJ$5/$CT$5)*$DB$4</f>
        <v>#DIV/0!</v>
      </c>
      <c r="DK32" s="303" t="e">
        <f>(Tabla292[[#This Row],[Columna4]]*DK$5/$CT$5)*$DB$4</f>
        <v>#DIV/0!</v>
      </c>
      <c r="DL32" s="303" t="e">
        <f>(Tabla292[[#This Row],[Columna4]]*DL$5/$CT$5)*$DB$4</f>
        <v>#DIV/0!</v>
      </c>
      <c r="DM32" s="303" t="e">
        <f>(Tabla292[[#This Row],[Columna4]]*DM$5/$CT$5)*$DB$4</f>
        <v>#DIV/0!</v>
      </c>
      <c r="DN32" s="303" t="e">
        <f>(Tabla292[[#This Row],[Columna4]]*DN$5/$CT$5)*$DB$4</f>
        <v>#DIV/0!</v>
      </c>
      <c r="DP32" s="531"/>
      <c r="DQ32" s="531"/>
      <c r="DR32" s="396" t="e">
        <f>$AS$30</f>
        <v>#DIV/0!</v>
      </c>
      <c r="DS32" s="242" t="str">
        <f>Tabla2[[#This Row],[Columna1]]</f>
        <v>C25</v>
      </c>
      <c r="DT32" s="303" t="e">
        <f>Tabla2926[[#This Row],[Columna3]]/7</f>
        <v>#DIV/0!</v>
      </c>
      <c r="DU32" s="303" t="e">
        <f>Tabla2926[[#This Row],[Columna4]]/4.2</f>
        <v>#DIV/0!</v>
      </c>
      <c r="DV32" s="303" t="e">
        <f>Tabla292[[#This Row],[Columna16]]</f>
        <v>#DIV/0!</v>
      </c>
      <c r="DW32" s="303" t="e">
        <f>(Tabla2926[[#This Row],[Columna4]]*DW$5/$DN$5)*$DV$4</f>
        <v>#DIV/0!</v>
      </c>
      <c r="DX32" s="303" t="e">
        <f>(Tabla2926[[#This Row],[Columna4]]*DX$5/$DN$5)*$DV$4</f>
        <v>#DIV/0!</v>
      </c>
      <c r="DY32" s="303" t="e">
        <f>(Tabla2926[[#This Row],[Columna4]]*DY$5/$DN$5)*$DV$4</f>
        <v>#DIV/0!</v>
      </c>
      <c r="DZ32" s="303" t="e">
        <f>(Tabla2926[[#This Row],[Columna4]]*DZ$5/$DN$5)*$DV$4</f>
        <v>#DIV/0!</v>
      </c>
      <c r="EA32" s="303" t="e">
        <f>(Tabla2926[[#This Row],[Columna4]]*EA$5/$DN$5)*$DV$4</f>
        <v>#DIV/0!</v>
      </c>
      <c r="EB32" s="303" t="e">
        <f>(Tabla2926[[#This Row],[Columna4]]*EB$5/$DN$5)*$DV$4</f>
        <v>#DIV/0!</v>
      </c>
      <c r="EC32" s="303" t="e">
        <f>(Tabla2926[[#This Row],[Columna4]]*EC$5/$DN$5)*$DV$4</f>
        <v>#DIV/0!</v>
      </c>
      <c r="ED32" s="303" t="e">
        <f>(Tabla2926[[#This Row],[Columna4]]*ED$5/$DN$5)*$DV$4</f>
        <v>#DIV/0!</v>
      </c>
      <c r="EE32" s="303" t="e">
        <f>(Tabla2926[[#This Row],[Columna4]]*EE$5/$DN$5)*$DV$4</f>
        <v>#DIV/0!</v>
      </c>
      <c r="EF32" s="303" t="e">
        <f>(Tabla2926[[#This Row],[Columna4]]*EF$5/$DN$5)*$DV$4</f>
        <v>#DIV/0!</v>
      </c>
      <c r="EG32" s="303" t="e">
        <f>(Tabla2926[[#This Row],[Columna4]]*EG$5/$DN$5)*$DV$4</f>
        <v>#DIV/0!</v>
      </c>
      <c r="EH32" s="303" t="e">
        <f>(Tabla2926[[#This Row],[Columna4]]*EH$5/$DN$5)*$DV$4</f>
        <v>#DIV/0!</v>
      </c>
      <c r="EJ32" s="531"/>
      <c r="EK32" s="531"/>
      <c r="EL32" s="396" t="e">
        <f>$AS$30</f>
        <v>#DIV/0!</v>
      </c>
      <c r="EM32" s="242" t="str">
        <f>Tabla2[[#This Row],[Columna1]]</f>
        <v>C25</v>
      </c>
      <c r="EN32" s="303" t="e">
        <f>Tabla29268[[#This Row],[Columna3]]/7</f>
        <v>#DIV/0!</v>
      </c>
      <c r="EO32" s="303" t="e">
        <f>Tabla29268[[#This Row],[Columna4]]/4.2</f>
        <v>#DIV/0!</v>
      </c>
      <c r="EP32" s="303" t="e">
        <f>Tabla2926[[#This Row],[Columna16]]</f>
        <v>#DIV/0!</v>
      </c>
      <c r="EQ32" s="303" t="e">
        <f>(Tabla29268[[#This Row],[Columna4]]*EQ$5/$EH$5)*$EP$4</f>
        <v>#DIV/0!</v>
      </c>
      <c r="ER32" s="303" t="e">
        <f>(Tabla29268[[#This Row],[Columna4]]*ER$5/$EH$5)*$EP$4</f>
        <v>#DIV/0!</v>
      </c>
      <c r="ES32" s="303" t="e">
        <f>(Tabla29268[[#This Row],[Columna4]]*ES$5/$EH$5)*$EP$4</f>
        <v>#DIV/0!</v>
      </c>
      <c r="ET32" s="303" t="e">
        <f>(Tabla29268[[#This Row],[Columna4]]*ET$5/$EH$5)*$EP$4</f>
        <v>#DIV/0!</v>
      </c>
      <c r="EU32" s="303" t="e">
        <f>(Tabla29268[[#This Row],[Columna4]]*EU$5/$EH$5)*$EP$4</f>
        <v>#DIV/0!</v>
      </c>
      <c r="EV32" s="303" t="e">
        <f>(Tabla29268[[#This Row],[Columna4]]*EV$5/$EH$5)*$EP$4</f>
        <v>#DIV/0!</v>
      </c>
      <c r="EW32" s="303" t="e">
        <f>(Tabla29268[[#This Row],[Columna4]]*EW$5/$EH$5)*$EP$4</f>
        <v>#DIV/0!</v>
      </c>
      <c r="EX32" s="303" t="e">
        <f>(Tabla29268[[#This Row],[Columna4]]*EX$5/$EH$5)*$EP$4</f>
        <v>#DIV/0!</v>
      </c>
      <c r="EY32" s="303" t="e">
        <f>(Tabla29268[[#This Row],[Columna4]]*EY$5/$EH$5)*$EP$4</f>
        <v>#DIV/0!</v>
      </c>
      <c r="EZ32" s="303" t="e">
        <f>(Tabla29268[[#This Row],[Columna4]]*EZ$5/$EH$5)*$EP$4</f>
        <v>#DIV/0!</v>
      </c>
      <c r="FA32" s="303" t="e">
        <f>(Tabla29268[[#This Row],[Columna4]]*FA$5/$EH$5)*$EP$4</f>
        <v>#DIV/0!</v>
      </c>
      <c r="FB32" s="303" t="e">
        <f>(Tabla29268[[#This Row],[Columna4]]*FB$5/$EH$5)*$EP$4</f>
        <v>#DIV/0!</v>
      </c>
      <c r="FD32" s="397" t="s">
        <v>23</v>
      </c>
      <c r="FE32" s="307" t="s">
        <v>280</v>
      </c>
      <c r="FF32" s="355" t="e">
        <f t="shared" ref="FF32:FQ32" si="195">FF33+FF53+FF56+FF63+FF80+FF84+FF92+FF98+FF100+FF111+FF126+FF138+FF144+FF147</f>
        <v>#DIV/0!</v>
      </c>
      <c r="FG32" s="355" t="e">
        <f t="shared" si="195"/>
        <v>#DIV/0!</v>
      </c>
      <c r="FH32" s="355" t="e">
        <f t="shared" si="195"/>
        <v>#DIV/0!</v>
      </c>
      <c r="FI32" s="355" t="e">
        <f t="shared" si="195"/>
        <v>#DIV/0!</v>
      </c>
      <c r="FJ32" s="355" t="e">
        <f t="shared" si="195"/>
        <v>#DIV/0!</v>
      </c>
      <c r="FK32" s="355" t="e">
        <f t="shared" si="195"/>
        <v>#DIV/0!</v>
      </c>
      <c r="FL32" s="355" t="e">
        <f t="shared" si="195"/>
        <v>#DIV/0!</v>
      </c>
      <c r="FM32" s="355" t="e">
        <f t="shared" si="195"/>
        <v>#DIV/0!</v>
      </c>
      <c r="FN32" s="355" t="e">
        <f t="shared" si="195"/>
        <v>#DIV/0!</v>
      </c>
      <c r="FO32" s="355" t="e">
        <f t="shared" si="195"/>
        <v>#DIV/0!</v>
      </c>
      <c r="FP32" s="355" t="e">
        <f t="shared" si="195"/>
        <v>#DIV/0!</v>
      </c>
      <c r="FQ32" s="355" t="e">
        <f t="shared" si="195"/>
        <v>#DIV/0!</v>
      </c>
      <c r="FR32" s="355" t="e">
        <f>SUM(FF32:FQ32)</f>
        <v>#DIV/0!</v>
      </c>
      <c r="FS32" s="260" t="e">
        <f>FR32/$FR$6</f>
        <v>#DIV/0!</v>
      </c>
      <c r="GC32" s="245" t="s">
        <v>434</v>
      </c>
      <c r="GD32" s="246">
        <v>0</v>
      </c>
      <c r="GE32" s="247" t="str">
        <f>IF(GD32=0%,"No Calculado","Ajustado")</f>
        <v>No Calculado</v>
      </c>
      <c r="GF32" s="248"/>
      <c r="GG32" s="245" t="s">
        <v>430</v>
      </c>
      <c r="GH32" s="246">
        <v>0</v>
      </c>
      <c r="GI32" s="247" t="str">
        <f>IF(GH32=0%,"No Calculado","Ajustado")</f>
        <v>No Calculado</v>
      </c>
      <c r="GL32" s="250">
        <f t="shared" si="131"/>
        <v>23</v>
      </c>
      <c r="GM32" s="352" t="s">
        <v>503</v>
      </c>
      <c r="GN32" s="353">
        <v>0</v>
      </c>
      <c r="GO32" s="353">
        <v>0</v>
      </c>
      <c r="GP32" s="353">
        <v>0</v>
      </c>
      <c r="GQ32" s="353">
        <v>0</v>
      </c>
      <c r="GR32" s="353">
        <v>0</v>
      </c>
      <c r="GS32" s="353">
        <v>0</v>
      </c>
      <c r="GT32" s="353">
        <v>0</v>
      </c>
      <c r="GU32" s="353">
        <v>0</v>
      </c>
      <c r="GV32" s="353">
        <v>0</v>
      </c>
      <c r="GW32" s="353">
        <v>0</v>
      </c>
      <c r="GX32" s="353">
        <v>0</v>
      </c>
      <c r="GY32" s="353">
        <v>0</v>
      </c>
      <c r="GZ32" s="328">
        <f t="shared" si="125"/>
        <v>0</v>
      </c>
      <c r="HA32" s="329" t="e">
        <f t="shared" si="55"/>
        <v>#DIV/0!</v>
      </c>
      <c r="HD32" s="65" t="s">
        <v>814</v>
      </c>
      <c r="HE32" s="66">
        <v>0</v>
      </c>
      <c r="HF32" s="67">
        <f t="shared" si="77"/>
        <v>0</v>
      </c>
      <c r="HG32" s="68">
        <f t="shared" si="78"/>
        <v>0</v>
      </c>
      <c r="HH32" s="69">
        <v>1</v>
      </c>
      <c r="HI32" s="367">
        <v>0</v>
      </c>
      <c r="HJ32" s="140"/>
      <c r="HM32" s="283"/>
      <c r="HN32" s="316"/>
      <c r="HO32" s="285"/>
      <c r="HP32" s="316"/>
      <c r="HQ32" s="285"/>
      <c r="HR32" s="316"/>
      <c r="HS32" s="285"/>
      <c r="HT32" s="316"/>
      <c r="HU32" s="285"/>
      <c r="HV32" s="316"/>
      <c r="HW32" s="285"/>
      <c r="HX32" s="316"/>
      <c r="HY32" s="285"/>
      <c r="HZ32" s="316"/>
      <c r="IA32" s="285"/>
      <c r="IB32" s="316"/>
      <c r="IC32" s="285"/>
      <c r="ID32" s="316"/>
      <c r="IE32" s="285"/>
      <c r="IF32" s="316"/>
      <c r="IG32" s="285"/>
      <c r="IH32" s="316"/>
      <c r="II32" s="285"/>
      <c r="IJ32" s="316"/>
      <c r="IK32" s="285"/>
      <c r="IL32" s="288"/>
      <c r="IM32" s="285"/>
    </row>
    <row r="33" spans="2:247" ht="14.4" customHeight="1" x14ac:dyDescent="0.3">
      <c r="C33" s="44" t="s">
        <v>761</v>
      </c>
      <c r="D33" s="15">
        <f>$D$29*B23</f>
        <v>0</v>
      </c>
      <c r="E33" s="15">
        <f t="shared" si="165"/>
        <v>0</v>
      </c>
      <c r="F33" s="15">
        <f t="shared" si="166"/>
        <v>0</v>
      </c>
      <c r="I33" s="44" t="s">
        <v>365</v>
      </c>
      <c r="J33" s="109">
        <f>J31/30.42</f>
        <v>0</v>
      </c>
      <c r="X33" s="335" t="e">
        <f t="shared" si="181"/>
        <v>#DIV/0!</v>
      </c>
      <c r="Y33" s="336" t="s">
        <v>329</v>
      </c>
      <c r="Z33" s="389">
        <f t="shared" si="182"/>
        <v>0</v>
      </c>
      <c r="AA33" s="299">
        <v>35.344099999999997</v>
      </c>
      <c r="AB33" s="339">
        <f t="shared" si="183"/>
        <v>0</v>
      </c>
      <c r="AD33" s="336" t="str">
        <f t="shared" si="184"/>
        <v>Diciembre</v>
      </c>
      <c r="AE33" s="340">
        <f t="shared" si="185"/>
        <v>4.16</v>
      </c>
      <c r="AG33" s="390">
        <v>0</v>
      </c>
      <c r="AM33" s="394">
        <f t="shared" si="5"/>
        <v>0</v>
      </c>
      <c r="AN33" s="394">
        <f t="shared" si="6"/>
        <v>0</v>
      </c>
      <c r="AO33" s="394">
        <f t="shared" si="7"/>
        <v>0</v>
      </c>
      <c r="AP33" s="394">
        <f t="shared" si="8"/>
        <v>0</v>
      </c>
      <c r="AQ33" s="395" t="s">
        <v>815</v>
      </c>
      <c r="AR33" s="297">
        <f t="shared" si="9"/>
        <v>0</v>
      </c>
      <c r="AS33" s="396" t="e">
        <f t="shared" si="2"/>
        <v>#DIV/0!</v>
      </c>
      <c r="AT33" s="531"/>
      <c r="AU33" s="531"/>
      <c r="AV33" s="299">
        <v>0</v>
      </c>
      <c r="AW33" s="300">
        <v>0</v>
      </c>
      <c r="AX33" s="301"/>
      <c r="AY33" s="302" t="str">
        <f t="shared" si="145"/>
        <v>Marzo</v>
      </c>
      <c r="AZ33" s="385">
        <f>Tabla24[[#Totals],[Columna16]]</f>
        <v>0</v>
      </c>
      <c r="BA33" s="385" t="e">
        <f>Tabla2410[[#Totals],[Columna16]]</f>
        <v>#DIV/0!</v>
      </c>
      <c r="BB33" s="385" t="e">
        <f>Tabla24105[[#Totals],[Columna16]]</f>
        <v>#DIV/0!</v>
      </c>
      <c r="BC33" s="385" t="e">
        <f>Tabla241057[[#Totals],[Columna16]]</f>
        <v>#DIV/0!</v>
      </c>
      <c r="BD33" s="385" t="e">
        <f>Tabla24105711[[#Totals],[Columna16]]</f>
        <v>#DIV/0!</v>
      </c>
      <c r="BE33" s="386" t="e">
        <f t="shared" si="146"/>
        <v>#DIV/0!</v>
      </c>
      <c r="BF33" s="305" t="e">
        <f t="shared" si="147"/>
        <v>#DIV/0!</v>
      </c>
      <c r="BH33" s="531"/>
      <c r="BI33" s="531"/>
      <c r="BJ33" s="396" t="e">
        <f>$AS$31</f>
        <v>#DIV/0!</v>
      </c>
      <c r="BK33" s="242" t="str">
        <f t="shared" si="19"/>
        <v>C26</v>
      </c>
      <c r="BL33" s="303">
        <f t="shared" si="20"/>
        <v>0</v>
      </c>
      <c r="BM33" s="303">
        <f t="shared" si="20"/>
        <v>0</v>
      </c>
      <c r="BN33" s="303">
        <f t="shared" si="20"/>
        <v>0</v>
      </c>
      <c r="BO33" s="303">
        <f t="shared" si="21"/>
        <v>0</v>
      </c>
      <c r="BP33" s="303">
        <f t="shared" si="22"/>
        <v>0</v>
      </c>
      <c r="BQ33" s="303">
        <f t="shared" si="23"/>
        <v>0</v>
      </c>
      <c r="BR33" s="303">
        <f t="shared" si="24"/>
        <v>0</v>
      </c>
      <c r="BS33" s="303">
        <f t="shared" si="25"/>
        <v>0</v>
      </c>
      <c r="BT33" s="303">
        <f t="shared" si="26"/>
        <v>0</v>
      </c>
      <c r="BU33" s="303">
        <f t="shared" si="27"/>
        <v>0</v>
      </c>
      <c r="BV33" s="303">
        <f t="shared" si="28"/>
        <v>0</v>
      </c>
      <c r="BW33" s="303">
        <f t="shared" si="29"/>
        <v>0</v>
      </c>
      <c r="BX33" s="303">
        <f t="shared" si="30"/>
        <v>0</v>
      </c>
      <c r="BY33" s="303">
        <f t="shared" si="31"/>
        <v>0</v>
      </c>
      <c r="BZ33" s="303">
        <f t="shared" si="32"/>
        <v>0</v>
      </c>
      <c r="CB33" s="531"/>
      <c r="CC33" s="531"/>
      <c r="CD33" s="396" t="e">
        <f>$AS$31</f>
        <v>#DIV/0!</v>
      </c>
      <c r="CE33" s="242" t="str">
        <f>Tabla2[[#This Row],[Columna1]]</f>
        <v>C26</v>
      </c>
      <c r="CF33" s="303">
        <f>Tabla29[[#This Row],[Columna3]]/7</f>
        <v>0</v>
      </c>
      <c r="CG33" s="303">
        <f>Tabla29[[#This Row],[Columna4]]/4.2</f>
        <v>0</v>
      </c>
      <c r="CH33" s="303">
        <f>Tabla2[[#This Row],[Columna16]]</f>
        <v>0</v>
      </c>
      <c r="CI33" s="303" t="e">
        <f>(Tabla29[[#This Row],[Columna4]]*CI$5/$BZ$5)*$CH$4</f>
        <v>#DIV/0!</v>
      </c>
      <c r="CJ33" s="303" t="e">
        <f>(Tabla29[[#This Row],[Columna4]]*CJ$5/$BZ$5)*$CH$4</f>
        <v>#DIV/0!</v>
      </c>
      <c r="CK33" s="303" t="e">
        <f>(Tabla29[[#This Row],[Columna4]]*CK$5/$BZ$5)*$CH$4</f>
        <v>#DIV/0!</v>
      </c>
      <c r="CL33" s="303" t="e">
        <f>(Tabla29[[#This Row],[Columna4]]*CL$5/$BZ$5)*$CH$4</f>
        <v>#DIV/0!</v>
      </c>
      <c r="CM33" s="303" t="e">
        <f>(Tabla29[[#This Row],[Columna4]]*CM$5/$BZ$5)*$CH$4</f>
        <v>#DIV/0!</v>
      </c>
      <c r="CN33" s="303" t="e">
        <f>(Tabla29[[#This Row],[Columna4]]*CN$5/$BZ$5)*$CH$4</f>
        <v>#DIV/0!</v>
      </c>
      <c r="CO33" s="303" t="e">
        <f>(Tabla29[[#This Row],[Columna4]]*CO$5/$BZ$5)*$CH$4</f>
        <v>#DIV/0!</v>
      </c>
      <c r="CP33" s="303" t="e">
        <f>(Tabla29[[#This Row],[Columna4]]*CP$5/$BZ$5)*$CH$4</f>
        <v>#DIV/0!</v>
      </c>
      <c r="CQ33" s="303" t="e">
        <f>(Tabla29[[#This Row],[Columna4]]*CQ$5/$BZ$5)*$CH$4</f>
        <v>#DIV/0!</v>
      </c>
      <c r="CR33" s="303" t="e">
        <f>(Tabla29[[#This Row],[Columna4]]*CR$5/$BZ$5)*$CH$4</f>
        <v>#DIV/0!</v>
      </c>
      <c r="CS33" s="303" t="e">
        <f>(Tabla29[[#This Row],[Columna4]]*CS$5/$BZ$5)*$CH$4</f>
        <v>#DIV/0!</v>
      </c>
      <c r="CT33" s="303" t="e">
        <f>(Tabla29[[#This Row],[Columna4]]*CT$5/$BZ$5)*$CH$4</f>
        <v>#DIV/0!</v>
      </c>
      <c r="CV33" s="531"/>
      <c r="CW33" s="531"/>
      <c r="CX33" s="396" t="e">
        <f>$AS$31</f>
        <v>#DIV/0!</v>
      </c>
      <c r="CY33" s="242" t="str">
        <f>Tabla2[[#This Row],[Columna1]]</f>
        <v>C26</v>
      </c>
      <c r="CZ33" s="303" t="e">
        <f>Tabla292[[#This Row],[Columna3]]/7</f>
        <v>#DIV/0!</v>
      </c>
      <c r="DA33" s="303" t="e">
        <f>Tabla292[[#This Row],[Columna4]]/4.2</f>
        <v>#DIV/0!</v>
      </c>
      <c r="DB33" s="303" t="e">
        <f>Tabla29[[#This Row],[Columna16]]</f>
        <v>#DIV/0!</v>
      </c>
      <c r="DC33" s="303" t="e">
        <f>(Tabla292[[#This Row],[Columna4]]*DC$5/$CT$5)*$DB$4</f>
        <v>#DIV/0!</v>
      </c>
      <c r="DD33" s="303" t="e">
        <f>(Tabla292[[#This Row],[Columna4]]*DD$5/$CT$5)*$DB$4</f>
        <v>#DIV/0!</v>
      </c>
      <c r="DE33" s="303" t="e">
        <f>(Tabla292[[#This Row],[Columna4]]*DE$5/$CT$5)*$DB$4</f>
        <v>#DIV/0!</v>
      </c>
      <c r="DF33" s="303" t="e">
        <f>(Tabla292[[#This Row],[Columna4]]*DF$5/$CT$5)*$DB$4</f>
        <v>#DIV/0!</v>
      </c>
      <c r="DG33" s="303" t="e">
        <f>(Tabla292[[#This Row],[Columna4]]*DG$5/$CT$5)*$DB$4</f>
        <v>#DIV/0!</v>
      </c>
      <c r="DH33" s="303" t="e">
        <f>(Tabla292[[#This Row],[Columna4]]*DH$5/$CT$5)*$DB$4</f>
        <v>#DIV/0!</v>
      </c>
      <c r="DI33" s="303" t="e">
        <f>(Tabla292[[#This Row],[Columna4]]*DI$5/$CT$5)*$DB$4</f>
        <v>#DIV/0!</v>
      </c>
      <c r="DJ33" s="303" t="e">
        <f>(Tabla292[[#This Row],[Columna4]]*DJ$5/$CT$5)*$DB$4</f>
        <v>#DIV/0!</v>
      </c>
      <c r="DK33" s="303" t="e">
        <f>(Tabla292[[#This Row],[Columna4]]*DK$5/$CT$5)*$DB$4</f>
        <v>#DIV/0!</v>
      </c>
      <c r="DL33" s="303" t="e">
        <f>(Tabla292[[#This Row],[Columna4]]*DL$5/$CT$5)*$DB$4</f>
        <v>#DIV/0!</v>
      </c>
      <c r="DM33" s="303" t="e">
        <f>(Tabla292[[#This Row],[Columna4]]*DM$5/$CT$5)*$DB$4</f>
        <v>#DIV/0!</v>
      </c>
      <c r="DN33" s="303" t="e">
        <f>(Tabla292[[#This Row],[Columna4]]*DN$5/$CT$5)*$DB$4</f>
        <v>#DIV/0!</v>
      </c>
      <c r="DP33" s="531"/>
      <c r="DQ33" s="531"/>
      <c r="DR33" s="396" t="e">
        <f>$AS$31</f>
        <v>#DIV/0!</v>
      </c>
      <c r="DS33" s="242" t="str">
        <f>Tabla2[[#This Row],[Columna1]]</f>
        <v>C26</v>
      </c>
      <c r="DT33" s="303" t="e">
        <f>Tabla2926[[#This Row],[Columna3]]/7</f>
        <v>#DIV/0!</v>
      </c>
      <c r="DU33" s="303" t="e">
        <f>Tabla2926[[#This Row],[Columna4]]/4.2</f>
        <v>#DIV/0!</v>
      </c>
      <c r="DV33" s="303" t="e">
        <f>Tabla292[[#This Row],[Columna16]]</f>
        <v>#DIV/0!</v>
      </c>
      <c r="DW33" s="303" t="e">
        <f>(Tabla2926[[#This Row],[Columna4]]*DW$5/$DN$5)*$DV$4</f>
        <v>#DIV/0!</v>
      </c>
      <c r="DX33" s="303" t="e">
        <f>(Tabla2926[[#This Row],[Columna4]]*DX$5/$DN$5)*$DV$4</f>
        <v>#DIV/0!</v>
      </c>
      <c r="DY33" s="303" t="e">
        <f>(Tabla2926[[#This Row],[Columna4]]*DY$5/$DN$5)*$DV$4</f>
        <v>#DIV/0!</v>
      </c>
      <c r="DZ33" s="303" t="e">
        <f>(Tabla2926[[#This Row],[Columna4]]*DZ$5/$DN$5)*$DV$4</f>
        <v>#DIV/0!</v>
      </c>
      <c r="EA33" s="303" t="e">
        <f>(Tabla2926[[#This Row],[Columna4]]*EA$5/$DN$5)*$DV$4</f>
        <v>#DIV/0!</v>
      </c>
      <c r="EB33" s="303" t="e">
        <f>(Tabla2926[[#This Row],[Columna4]]*EB$5/$DN$5)*$DV$4</f>
        <v>#DIV/0!</v>
      </c>
      <c r="EC33" s="303" t="e">
        <f>(Tabla2926[[#This Row],[Columna4]]*EC$5/$DN$5)*$DV$4</f>
        <v>#DIV/0!</v>
      </c>
      <c r="ED33" s="303" t="e">
        <f>(Tabla2926[[#This Row],[Columna4]]*ED$5/$DN$5)*$DV$4</f>
        <v>#DIV/0!</v>
      </c>
      <c r="EE33" s="303" t="e">
        <f>(Tabla2926[[#This Row],[Columna4]]*EE$5/$DN$5)*$DV$4</f>
        <v>#DIV/0!</v>
      </c>
      <c r="EF33" s="303" t="e">
        <f>(Tabla2926[[#This Row],[Columna4]]*EF$5/$DN$5)*$DV$4</f>
        <v>#DIV/0!</v>
      </c>
      <c r="EG33" s="303" t="e">
        <f>(Tabla2926[[#This Row],[Columna4]]*EG$5/$DN$5)*$DV$4</f>
        <v>#DIV/0!</v>
      </c>
      <c r="EH33" s="303" t="e">
        <f>(Tabla2926[[#This Row],[Columna4]]*EH$5/$DN$5)*$DV$4</f>
        <v>#DIV/0!</v>
      </c>
      <c r="EJ33" s="531"/>
      <c r="EK33" s="531"/>
      <c r="EL33" s="396" t="e">
        <f>$AS$31</f>
        <v>#DIV/0!</v>
      </c>
      <c r="EM33" s="242" t="str">
        <f>Tabla2[[#This Row],[Columna1]]</f>
        <v>C26</v>
      </c>
      <c r="EN33" s="303" t="e">
        <f>Tabla29268[[#This Row],[Columna3]]/7</f>
        <v>#DIV/0!</v>
      </c>
      <c r="EO33" s="303" t="e">
        <f>Tabla29268[[#This Row],[Columna4]]/4.2</f>
        <v>#DIV/0!</v>
      </c>
      <c r="EP33" s="303" t="e">
        <f>Tabla2926[[#This Row],[Columna16]]</f>
        <v>#DIV/0!</v>
      </c>
      <c r="EQ33" s="303" t="e">
        <f>(Tabla29268[[#This Row],[Columna4]]*EQ$5/$EH$5)*$EP$4</f>
        <v>#DIV/0!</v>
      </c>
      <c r="ER33" s="303" t="e">
        <f>(Tabla29268[[#This Row],[Columna4]]*ER$5/$EH$5)*$EP$4</f>
        <v>#DIV/0!</v>
      </c>
      <c r="ES33" s="303" t="e">
        <f>(Tabla29268[[#This Row],[Columna4]]*ES$5/$EH$5)*$EP$4</f>
        <v>#DIV/0!</v>
      </c>
      <c r="ET33" s="303" t="e">
        <f>(Tabla29268[[#This Row],[Columna4]]*ET$5/$EH$5)*$EP$4</f>
        <v>#DIV/0!</v>
      </c>
      <c r="EU33" s="303" t="e">
        <f>(Tabla29268[[#This Row],[Columna4]]*EU$5/$EH$5)*$EP$4</f>
        <v>#DIV/0!</v>
      </c>
      <c r="EV33" s="303" t="e">
        <f>(Tabla29268[[#This Row],[Columna4]]*EV$5/$EH$5)*$EP$4</f>
        <v>#DIV/0!</v>
      </c>
      <c r="EW33" s="303" t="e">
        <f>(Tabla29268[[#This Row],[Columna4]]*EW$5/$EH$5)*$EP$4</f>
        <v>#DIV/0!</v>
      </c>
      <c r="EX33" s="303" t="e">
        <f>(Tabla29268[[#This Row],[Columna4]]*EX$5/$EH$5)*$EP$4</f>
        <v>#DIV/0!</v>
      </c>
      <c r="EY33" s="303" t="e">
        <f>(Tabla29268[[#This Row],[Columna4]]*EY$5/$EH$5)*$EP$4</f>
        <v>#DIV/0!</v>
      </c>
      <c r="EZ33" s="303" t="e">
        <f>(Tabla29268[[#This Row],[Columna4]]*EZ$5/$EH$5)*$EP$4</f>
        <v>#DIV/0!</v>
      </c>
      <c r="FA33" s="303" t="e">
        <f>(Tabla29268[[#This Row],[Columna4]]*FA$5/$EH$5)*$EP$4</f>
        <v>#DIV/0!</v>
      </c>
      <c r="FB33" s="303" t="e">
        <f>(Tabla29268[[#This Row],[Columna4]]*FB$5/$EH$5)*$EP$4</f>
        <v>#DIV/0!</v>
      </c>
      <c r="FD33" s="397" t="s">
        <v>25</v>
      </c>
      <c r="FE33" s="357" t="s">
        <v>22</v>
      </c>
      <c r="FF33" s="325" t="e">
        <f>SUM(FF34:FF52)</f>
        <v>#DIV/0!</v>
      </c>
      <c r="FG33" s="325" t="e">
        <f t="shared" ref="FG33:FQ33" si="196">SUM(FG34:FG52)</f>
        <v>#DIV/0!</v>
      </c>
      <c r="FH33" s="325" t="e">
        <f t="shared" si="196"/>
        <v>#DIV/0!</v>
      </c>
      <c r="FI33" s="325" t="e">
        <f t="shared" si="196"/>
        <v>#DIV/0!</v>
      </c>
      <c r="FJ33" s="325" t="e">
        <f t="shared" si="196"/>
        <v>#DIV/0!</v>
      </c>
      <c r="FK33" s="325" t="e">
        <f t="shared" si="196"/>
        <v>#DIV/0!</v>
      </c>
      <c r="FL33" s="325" t="e">
        <f t="shared" si="196"/>
        <v>#DIV/0!</v>
      </c>
      <c r="FM33" s="325" t="e">
        <f t="shared" si="196"/>
        <v>#DIV/0!</v>
      </c>
      <c r="FN33" s="325" t="e">
        <f t="shared" si="196"/>
        <v>#DIV/0!</v>
      </c>
      <c r="FO33" s="325" t="e">
        <f t="shared" si="196"/>
        <v>#DIV/0!</v>
      </c>
      <c r="FP33" s="325" t="e">
        <f t="shared" si="196"/>
        <v>#DIV/0!</v>
      </c>
      <c r="FQ33" s="325" t="e">
        <f t="shared" si="196"/>
        <v>#DIV/0!</v>
      </c>
      <c r="FR33" s="309" t="e">
        <f t="shared" ref="FR33:FR100" si="197">SUM(FF33:FQ33)</f>
        <v>#DIV/0!</v>
      </c>
      <c r="FS33" s="260" t="e">
        <f t="shared" ref="FS33:FS96" si="198">FR33/$FR$6</f>
        <v>#DIV/0!</v>
      </c>
      <c r="FV33" s="526" t="s">
        <v>442</v>
      </c>
      <c r="FW33" s="526"/>
      <c r="FX33" s="526"/>
      <c r="FY33" s="526"/>
      <c r="FZ33" s="526"/>
      <c r="GA33" s="526"/>
      <c r="GB33" s="526"/>
      <c r="GC33" s="245" t="s">
        <v>435</v>
      </c>
      <c r="GD33" s="246">
        <v>0</v>
      </c>
      <c r="GE33" s="247" t="str">
        <f>IF(GD33=0%,"No Calculado","Ajustado")</f>
        <v>No Calculado</v>
      </c>
      <c r="GF33" s="254"/>
      <c r="GG33" s="245" t="s">
        <v>431</v>
      </c>
      <c r="GH33" s="246">
        <v>0</v>
      </c>
      <c r="GI33" s="247" t="str">
        <f>IF(GH33=0%,"Ya Calculado","Mejorado")</f>
        <v>Ya Calculado</v>
      </c>
      <c r="GL33" s="250"/>
      <c r="GM33" s="310" t="s">
        <v>475</v>
      </c>
      <c r="GN33" s="311">
        <f>SUM(GN34:GN36)</f>
        <v>0</v>
      </c>
      <c r="GO33" s="311">
        <f t="shared" ref="GO33:GZ33" si="199">SUM(GO34:GO36)</f>
        <v>0</v>
      </c>
      <c r="GP33" s="311">
        <f t="shared" si="199"/>
        <v>0</v>
      </c>
      <c r="GQ33" s="311">
        <f t="shared" si="199"/>
        <v>0</v>
      </c>
      <c r="GR33" s="311">
        <f t="shared" si="199"/>
        <v>0</v>
      </c>
      <c r="GS33" s="311">
        <f t="shared" si="199"/>
        <v>0</v>
      </c>
      <c r="GT33" s="311">
        <f t="shared" si="199"/>
        <v>0</v>
      </c>
      <c r="GU33" s="311">
        <f t="shared" si="199"/>
        <v>0</v>
      </c>
      <c r="GV33" s="311">
        <f t="shared" si="199"/>
        <v>0</v>
      </c>
      <c r="GW33" s="311">
        <f t="shared" si="199"/>
        <v>0</v>
      </c>
      <c r="GX33" s="311">
        <f t="shared" si="199"/>
        <v>0</v>
      </c>
      <c r="GY33" s="311">
        <f t="shared" si="199"/>
        <v>0</v>
      </c>
      <c r="GZ33" s="311">
        <f t="shared" si="199"/>
        <v>0</v>
      </c>
      <c r="HA33" s="312" t="e">
        <f t="shared" si="55"/>
        <v>#DIV/0!</v>
      </c>
      <c r="HD33" s="65" t="s">
        <v>816</v>
      </c>
      <c r="HE33" s="66">
        <v>0</v>
      </c>
      <c r="HF33" s="67">
        <f t="shared" si="77"/>
        <v>0</v>
      </c>
      <c r="HG33" s="68">
        <f t="shared" si="78"/>
        <v>0</v>
      </c>
      <c r="HH33" s="69">
        <v>1</v>
      </c>
      <c r="HI33" s="367">
        <v>0</v>
      </c>
      <c r="HJ33" s="140"/>
      <c r="HM33" s="330" t="s">
        <v>595</v>
      </c>
      <c r="HN33" s="316"/>
      <c r="HO33" s="354" t="e">
        <f>+HN33/HN9</f>
        <v>#DIV/0!</v>
      </c>
      <c r="HP33" s="316"/>
      <c r="HQ33" s="354" t="e">
        <f t="shared" ref="HQ33" si="200">+HP33/HP9</f>
        <v>#DIV/0!</v>
      </c>
      <c r="HR33" s="316"/>
      <c r="HS33" s="354" t="e">
        <f t="shared" ref="HS33" si="201">+HR33/HR9</f>
        <v>#DIV/0!</v>
      </c>
      <c r="HT33" s="316"/>
      <c r="HU33" s="354" t="e">
        <f t="shared" ref="HU33" si="202">+HT33/HT9</f>
        <v>#DIV/0!</v>
      </c>
      <c r="HV33" s="316"/>
      <c r="HW33" s="354" t="e">
        <f t="shared" ref="HW33" si="203">+HV33/HV9</f>
        <v>#DIV/0!</v>
      </c>
      <c r="HX33" s="316"/>
      <c r="HY33" s="354" t="e">
        <f t="shared" ref="HY33" si="204">+HX33/HX9</f>
        <v>#DIV/0!</v>
      </c>
      <c r="HZ33" s="316"/>
      <c r="IA33" s="354" t="e">
        <f t="shared" ref="IA33" si="205">+HZ33/HZ9</f>
        <v>#DIV/0!</v>
      </c>
      <c r="IB33" s="316"/>
      <c r="IC33" s="354" t="e">
        <f t="shared" ref="IC33" si="206">+IB33/IB9</f>
        <v>#DIV/0!</v>
      </c>
      <c r="ID33" s="316"/>
      <c r="IE33" s="354" t="e">
        <f t="shared" ref="IE33" si="207">+ID33/ID9</f>
        <v>#DIV/0!</v>
      </c>
      <c r="IF33" s="316"/>
      <c r="IG33" s="354" t="e">
        <f t="shared" ref="IG33" si="208">+IF33/IF9</f>
        <v>#DIV/0!</v>
      </c>
      <c r="IH33" s="316"/>
      <c r="II33" s="354" t="e">
        <f t="shared" ref="II33" si="209">+IH33/IH9</f>
        <v>#DIV/0!</v>
      </c>
      <c r="IJ33" s="316"/>
      <c r="IK33" s="354" t="e">
        <f t="shared" ref="IK33:IM33" si="210">+IJ33/IJ9</f>
        <v>#DIV/0!</v>
      </c>
      <c r="IL33" s="333">
        <f>HN33+HP33+HR33+HT33+HV33+HX33+HZ33+IB33+ID33+IF33+IH33+IJ33</f>
        <v>0</v>
      </c>
      <c r="IM33" s="354" t="e">
        <f t="shared" si="210"/>
        <v>#DIV/0!</v>
      </c>
    </row>
    <row r="34" spans="2:247" ht="14.4" customHeight="1" x14ac:dyDescent="0.3">
      <c r="C34" s="44" t="s">
        <v>354</v>
      </c>
      <c r="D34" s="46" t="e">
        <f>D19/D35</f>
        <v>#DIV/0!</v>
      </c>
      <c r="E34" s="15" t="e">
        <f t="shared" si="165"/>
        <v>#DIV/0!</v>
      </c>
      <c r="F34" s="15" t="e">
        <f t="shared" si="166"/>
        <v>#DIV/0!</v>
      </c>
      <c r="I34" s="44" t="s">
        <v>370</v>
      </c>
      <c r="J34" s="50">
        <f>D37/J29</f>
        <v>0</v>
      </c>
      <c r="X34" s="335" t="e">
        <f t="shared" si="181"/>
        <v>#DIV/0!</v>
      </c>
      <c r="Y34" s="336" t="s">
        <v>330</v>
      </c>
      <c r="Z34" s="389">
        <f t="shared" si="182"/>
        <v>0</v>
      </c>
      <c r="AA34" s="299">
        <v>35.403599999999997</v>
      </c>
      <c r="AB34" s="339">
        <f t="shared" si="183"/>
        <v>0</v>
      </c>
      <c r="AD34" s="336" t="str">
        <f t="shared" si="184"/>
        <v>Enero</v>
      </c>
      <c r="AE34" s="340">
        <f t="shared" si="185"/>
        <v>4.6100000000000003</v>
      </c>
      <c r="AG34" s="390">
        <v>0</v>
      </c>
      <c r="AM34" s="394">
        <f t="shared" si="5"/>
        <v>0</v>
      </c>
      <c r="AN34" s="394">
        <f t="shared" si="6"/>
        <v>0</v>
      </c>
      <c r="AO34" s="394">
        <f t="shared" si="7"/>
        <v>0</v>
      </c>
      <c r="AP34" s="394">
        <f t="shared" si="8"/>
        <v>0</v>
      </c>
      <c r="AQ34" s="395" t="s">
        <v>817</v>
      </c>
      <c r="AR34" s="297">
        <f t="shared" si="9"/>
        <v>0</v>
      </c>
      <c r="AS34" s="396" t="e">
        <f t="shared" si="2"/>
        <v>#DIV/0!</v>
      </c>
      <c r="AT34" s="531"/>
      <c r="AU34" s="531"/>
      <c r="AV34" s="299">
        <v>0</v>
      </c>
      <c r="AW34" s="300">
        <v>0</v>
      </c>
      <c r="AX34" s="301"/>
      <c r="AZ34" s="398">
        <f>SUM(AZ22:AZ33)</f>
        <v>0</v>
      </c>
      <c r="BA34" s="398" t="e">
        <f t="shared" ref="BA34:BD34" si="211">SUM(BA22:BA33)</f>
        <v>#DIV/0!</v>
      </c>
      <c r="BB34" s="398" t="e">
        <f t="shared" si="211"/>
        <v>#DIV/0!</v>
      </c>
      <c r="BC34" s="398" t="e">
        <f t="shared" si="211"/>
        <v>#DIV/0!</v>
      </c>
      <c r="BD34" s="398" t="e">
        <f t="shared" si="211"/>
        <v>#DIV/0!</v>
      </c>
      <c r="BE34" s="386" t="e">
        <f>SUM(BE22:BE33)</f>
        <v>#DIV/0!</v>
      </c>
      <c r="BF34" s="305" t="e">
        <f t="shared" si="147"/>
        <v>#DIV/0!</v>
      </c>
      <c r="BH34" s="531"/>
      <c r="BI34" s="531"/>
      <c r="BJ34" s="396" t="e">
        <f>$AS$32</f>
        <v>#DIV/0!</v>
      </c>
      <c r="BK34" s="242" t="str">
        <f t="shared" si="19"/>
        <v>C27</v>
      </c>
      <c r="BL34" s="303">
        <f t="shared" si="20"/>
        <v>0</v>
      </c>
      <c r="BM34" s="303">
        <f t="shared" si="20"/>
        <v>0</v>
      </c>
      <c r="BN34" s="303">
        <f t="shared" si="20"/>
        <v>0</v>
      </c>
      <c r="BO34" s="303">
        <f t="shared" si="21"/>
        <v>0</v>
      </c>
      <c r="BP34" s="303">
        <f t="shared" si="22"/>
        <v>0</v>
      </c>
      <c r="BQ34" s="303">
        <f t="shared" si="23"/>
        <v>0</v>
      </c>
      <c r="BR34" s="303">
        <f t="shared" si="24"/>
        <v>0</v>
      </c>
      <c r="BS34" s="303">
        <f t="shared" si="25"/>
        <v>0</v>
      </c>
      <c r="BT34" s="303">
        <f t="shared" si="26"/>
        <v>0</v>
      </c>
      <c r="BU34" s="303">
        <f t="shared" si="27"/>
        <v>0</v>
      </c>
      <c r="BV34" s="303">
        <f t="shared" si="28"/>
        <v>0</v>
      </c>
      <c r="BW34" s="303">
        <f t="shared" si="29"/>
        <v>0</v>
      </c>
      <c r="BX34" s="303">
        <f t="shared" si="30"/>
        <v>0</v>
      </c>
      <c r="BY34" s="303">
        <f t="shared" si="31"/>
        <v>0</v>
      </c>
      <c r="BZ34" s="303">
        <f t="shared" si="32"/>
        <v>0</v>
      </c>
      <c r="CB34" s="531"/>
      <c r="CC34" s="531"/>
      <c r="CD34" s="396" t="e">
        <f>$AS$32</f>
        <v>#DIV/0!</v>
      </c>
      <c r="CE34" s="242" t="str">
        <f>Tabla2[[#This Row],[Columna1]]</f>
        <v>C27</v>
      </c>
      <c r="CF34" s="303">
        <f>Tabla29[[#This Row],[Columna3]]/7</f>
        <v>0</v>
      </c>
      <c r="CG34" s="303">
        <f>Tabla29[[#This Row],[Columna4]]/4.2</f>
        <v>0</v>
      </c>
      <c r="CH34" s="303">
        <f>Tabla2[[#This Row],[Columna16]]</f>
        <v>0</v>
      </c>
      <c r="CI34" s="303" t="e">
        <f>(Tabla29[[#This Row],[Columna4]]*CI$5/$BZ$5)*$CH$4</f>
        <v>#DIV/0!</v>
      </c>
      <c r="CJ34" s="303" t="e">
        <f>(Tabla29[[#This Row],[Columna4]]*CJ$5/$BZ$5)*$CH$4</f>
        <v>#DIV/0!</v>
      </c>
      <c r="CK34" s="303" t="e">
        <f>(Tabla29[[#This Row],[Columna4]]*CK$5/$BZ$5)*$CH$4</f>
        <v>#DIV/0!</v>
      </c>
      <c r="CL34" s="303" t="e">
        <f>(Tabla29[[#This Row],[Columna4]]*CL$5/$BZ$5)*$CH$4</f>
        <v>#DIV/0!</v>
      </c>
      <c r="CM34" s="303" t="e">
        <f>(Tabla29[[#This Row],[Columna4]]*CM$5/$BZ$5)*$CH$4</f>
        <v>#DIV/0!</v>
      </c>
      <c r="CN34" s="303" t="e">
        <f>(Tabla29[[#This Row],[Columna4]]*CN$5/$BZ$5)*$CH$4</f>
        <v>#DIV/0!</v>
      </c>
      <c r="CO34" s="303" t="e">
        <f>(Tabla29[[#This Row],[Columna4]]*CO$5/$BZ$5)*$CH$4</f>
        <v>#DIV/0!</v>
      </c>
      <c r="CP34" s="303" t="e">
        <f>(Tabla29[[#This Row],[Columna4]]*CP$5/$BZ$5)*$CH$4</f>
        <v>#DIV/0!</v>
      </c>
      <c r="CQ34" s="303" t="e">
        <f>(Tabla29[[#This Row],[Columna4]]*CQ$5/$BZ$5)*$CH$4</f>
        <v>#DIV/0!</v>
      </c>
      <c r="CR34" s="303" t="e">
        <f>(Tabla29[[#This Row],[Columna4]]*CR$5/$BZ$5)*$CH$4</f>
        <v>#DIV/0!</v>
      </c>
      <c r="CS34" s="303" t="e">
        <f>(Tabla29[[#This Row],[Columna4]]*CS$5/$BZ$5)*$CH$4</f>
        <v>#DIV/0!</v>
      </c>
      <c r="CT34" s="303" t="e">
        <f>(Tabla29[[#This Row],[Columna4]]*CT$5/$BZ$5)*$CH$4</f>
        <v>#DIV/0!</v>
      </c>
      <c r="CV34" s="531"/>
      <c r="CW34" s="531"/>
      <c r="CX34" s="396" t="e">
        <f>$AS$32</f>
        <v>#DIV/0!</v>
      </c>
      <c r="CY34" s="242" t="str">
        <f>Tabla2[[#This Row],[Columna1]]</f>
        <v>C27</v>
      </c>
      <c r="CZ34" s="303" t="e">
        <f>Tabla292[[#This Row],[Columna3]]/7</f>
        <v>#DIV/0!</v>
      </c>
      <c r="DA34" s="303" t="e">
        <f>Tabla292[[#This Row],[Columna4]]/4.2</f>
        <v>#DIV/0!</v>
      </c>
      <c r="DB34" s="303" t="e">
        <f>Tabla29[[#This Row],[Columna16]]</f>
        <v>#DIV/0!</v>
      </c>
      <c r="DC34" s="303" t="e">
        <f>(Tabla292[[#This Row],[Columna4]]*DC$5/$CT$5)*$DB$4</f>
        <v>#DIV/0!</v>
      </c>
      <c r="DD34" s="303" t="e">
        <f>(Tabla292[[#This Row],[Columna4]]*DD$5/$CT$5)*$DB$4</f>
        <v>#DIV/0!</v>
      </c>
      <c r="DE34" s="303" t="e">
        <f>(Tabla292[[#This Row],[Columna4]]*DE$5/$CT$5)*$DB$4</f>
        <v>#DIV/0!</v>
      </c>
      <c r="DF34" s="303" t="e">
        <f>(Tabla292[[#This Row],[Columna4]]*DF$5/$CT$5)*$DB$4</f>
        <v>#DIV/0!</v>
      </c>
      <c r="DG34" s="303" t="e">
        <f>(Tabla292[[#This Row],[Columna4]]*DG$5/$CT$5)*$DB$4</f>
        <v>#DIV/0!</v>
      </c>
      <c r="DH34" s="303" t="e">
        <f>(Tabla292[[#This Row],[Columna4]]*DH$5/$CT$5)*$DB$4</f>
        <v>#DIV/0!</v>
      </c>
      <c r="DI34" s="303" t="e">
        <f>(Tabla292[[#This Row],[Columna4]]*DI$5/$CT$5)*$DB$4</f>
        <v>#DIV/0!</v>
      </c>
      <c r="DJ34" s="303" t="e">
        <f>(Tabla292[[#This Row],[Columna4]]*DJ$5/$CT$5)*$DB$4</f>
        <v>#DIV/0!</v>
      </c>
      <c r="DK34" s="303" t="e">
        <f>(Tabla292[[#This Row],[Columna4]]*DK$5/$CT$5)*$DB$4</f>
        <v>#DIV/0!</v>
      </c>
      <c r="DL34" s="303" t="e">
        <f>(Tabla292[[#This Row],[Columna4]]*DL$5/$CT$5)*$DB$4</f>
        <v>#DIV/0!</v>
      </c>
      <c r="DM34" s="303" t="e">
        <f>(Tabla292[[#This Row],[Columna4]]*DM$5/$CT$5)*$DB$4</f>
        <v>#DIV/0!</v>
      </c>
      <c r="DN34" s="303" t="e">
        <f>(Tabla292[[#This Row],[Columna4]]*DN$5/$CT$5)*$DB$4</f>
        <v>#DIV/0!</v>
      </c>
      <c r="DP34" s="531"/>
      <c r="DQ34" s="531"/>
      <c r="DR34" s="396" t="e">
        <f>$AS$32</f>
        <v>#DIV/0!</v>
      </c>
      <c r="DS34" s="242" t="str">
        <f>Tabla2[[#This Row],[Columna1]]</f>
        <v>C27</v>
      </c>
      <c r="DT34" s="303" t="e">
        <f>Tabla2926[[#This Row],[Columna3]]/7</f>
        <v>#DIV/0!</v>
      </c>
      <c r="DU34" s="303" t="e">
        <f>Tabla2926[[#This Row],[Columna4]]/4.2</f>
        <v>#DIV/0!</v>
      </c>
      <c r="DV34" s="303" t="e">
        <f>Tabla292[[#This Row],[Columna16]]</f>
        <v>#DIV/0!</v>
      </c>
      <c r="DW34" s="303" t="e">
        <f>(Tabla2926[[#This Row],[Columna4]]*DW$5/$DN$5)*$DV$4</f>
        <v>#DIV/0!</v>
      </c>
      <c r="DX34" s="303" t="e">
        <f>(Tabla2926[[#This Row],[Columna4]]*DX$5/$DN$5)*$DV$4</f>
        <v>#DIV/0!</v>
      </c>
      <c r="DY34" s="303" t="e">
        <f>(Tabla2926[[#This Row],[Columna4]]*DY$5/$DN$5)*$DV$4</f>
        <v>#DIV/0!</v>
      </c>
      <c r="DZ34" s="303" t="e">
        <f>(Tabla2926[[#This Row],[Columna4]]*DZ$5/$DN$5)*$DV$4</f>
        <v>#DIV/0!</v>
      </c>
      <c r="EA34" s="303" t="e">
        <f>(Tabla2926[[#This Row],[Columna4]]*EA$5/$DN$5)*$DV$4</f>
        <v>#DIV/0!</v>
      </c>
      <c r="EB34" s="303" t="e">
        <f>(Tabla2926[[#This Row],[Columna4]]*EB$5/$DN$5)*$DV$4</f>
        <v>#DIV/0!</v>
      </c>
      <c r="EC34" s="303" t="e">
        <f>(Tabla2926[[#This Row],[Columna4]]*EC$5/$DN$5)*$DV$4</f>
        <v>#DIV/0!</v>
      </c>
      <c r="ED34" s="303" t="e">
        <f>(Tabla2926[[#This Row],[Columna4]]*ED$5/$DN$5)*$DV$4</f>
        <v>#DIV/0!</v>
      </c>
      <c r="EE34" s="303" t="e">
        <f>(Tabla2926[[#This Row],[Columna4]]*EE$5/$DN$5)*$DV$4</f>
        <v>#DIV/0!</v>
      </c>
      <c r="EF34" s="303" t="e">
        <f>(Tabla2926[[#This Row],[Columna4]]*EF$5/$DN$5)*$DV$4</f>
        <v>#DIV/0!</v>
      </c>
      <c r="EG34" s="303" t="e">
        <f>(Tabla2926[[#This Row],[Columna4]]*EG$5/$DN$5)*$DV$4</f>
        <v>#DIV/0!</v>
      </c>
      <c r="EH34" s="303" t="e">
        <f>(Tabla2926[[#This Row],[Columna4]]*EH$5/$DN$5)*$DV$4</f>
        <v>#DIV/0!</v>
      </c>
      <c r="EJ34" s="531"/>
      <c r="EK34" s="531"/>
      <c r="EL34" s="396" t="e">
        <f>$AS$32</f>
        <v>#DIV/0!</v>
      </c>
      <c r="EM34" s="242" t="str">
        <f>Tabla2[[#This Row],[Columna1]]</f>
        <v>C27</v>
      </c>
      <c r="EN34" s="303" t="e">
        <f>Tabla29268[[#This Row],[Columna3]]/7</f>
        <v>#DIV/0!</v>
      </c>
      <c r="EO34" s="303" t="e">
        <f>Tabla29268[[#This Row],[Columna4]]/4.2</f>
        <v>#DIV/0!</v>
      </c>
      <c r="EP34" s="303" t="e">
        <f>Tabla2926[[#This Row],[Columna16]]</f>
        <v>#DIV/0!</v>
      </c>
      <c r="EQ34" s="303" t="e">
        <f>(Tabla29268[[#This Row],[Columna4]]*EQ$5/$EH$5)*$EP$4</f>
        <v>#DIV/0!</v>
      </c>
      <c r="ER34" s="303" t="e">
        <f>(Tabla29268[[#This Row],[Columna4]]*ER$5/$EH$5)*$EP$4</f>
        <v>#DIV/0!</v>
      </c>
      <c r="ES34" s="303" t="e">
        <f>(Tabla29268[[#This Row],[Columna4]]*ES$5/$EH$5)*$EP$4</f>
        <v>#DIV/0!</v>
      </c>
      <c r="ET34" s="303" t="e">
        <f>(Tabla29268[[#This Row],[Columna4]]*ET$5/$EH$5)*$EP$4</f>
        <v>#DIV/0!</v>
      </c>
      <c r="EU34" s="303" t="e">
        <f>(Tabla29268[[#This Row],[Columna4]]*EU$5/$EH$5)*$EP$4</f>
        <v>#DIV/0!</v>
      </c>
      <c r="EV34" s="303" t="e">
        <f>(Tabla29268[[#This Row],[Columna4]]*EV$5/$EH$5)*$EP$4</f>
        <v>#DIV/0!</v>
      </c>
      <c r="EW34" s="303" t="e">
        <f>(Tabla29268[[#This Row],[Columna4]]*EW$5/$EH$5)*$EP$4</f>
        <v>#DIV/0!</v>
      </c>
      <c r="EX34" s="303" t="e">
        <f>(Tabla29268[[#This Row],[Columna4]]*EX$5/$EH$5)*$EP$4</f>
        <v>#DIV/0!</v>
      </c>
      <c r="EY34" s="303" t="e">
        <f>(Tabla29268[[#This Row],[Columna4]]*EY$5/$EH$5)*$EP$4</f>
        <v>#DIV/0!</v>
      </c>
      <c r="EZ34" s="303" t="e">
        <f>(Tabla29268[[#This Row],[Columna4]]*EZ$5/$EH$5)*$EP$4</f>
        <v>#DIV/0!</v>
      </c>
      <c r="FA34" s="303" t="e">
        <f>(Tabla29268[[#This Row],[Columna4]]*FA$5/$EH$5)*$EP$4</f>
        <v>#DIV/0!</v>
      </c>
      <c r="FB34" s="303" t="e">
        <f>(Tabla29268[[#This Row],[Columna4]]*FB$5/$EH$5)*$EP$4</f>
        <v>#DIV/0!</v>
      </c>
      <c r="FD34" s="397" t="s">
        <v>27</v>
      </c>
      <c r="FE34" s="399" t="s">
        <v>24</v>
      </c>
      <c r="FF34" s="400">
        <f t="shared" ref="FF34:FQ49" si="212">+FF209/FF$376</f>
        <v>0</v>
      </c>
      <c r="FG34" s="400">
        <f t="shared" si="212"/>
        <v>0</v>
      </c>
      <c r="FH34" s="400">
        <f t="shared" si="212"/>
        <v>0</v>
      </c>
      <c r="FI34" s="400">
        <f t="shared" si="212"/>
        <v>0</v>
      </c>
      <c r="FJ34" s="400">
        <f t="shared" si="212"/>
        <v>0</v>
      </c>
      <c r="FK34" s="400">
        <f t="shared" si="212"/>
        <v>0</v>
      </c>
      <c r="FL34" s="400">
        <f t="shared" si="212"/>
        <v>0</v>
      </c>
      <c r="FM34" s="400">
        <f t="shared" si="212"/>
        <v>0</v>
      </c>
      <c r="FN34" s="400">
        <f t="shared" si="212"/>
        <v>0</v>
      </c>
      <c r="FO34" s="400">
        <f t="shared" si="212"/>
        <v>0</v>
      </c>
      <c r="FP34" s="400">
        <f t="shared" si="212"/>
        <v>0</v>
      </c>
      <c r="FQ34" s="400">
        <f t="shared" si="212"/>
        <v>0</v>
      </c>
      <c r="FR34" s="363">
        <f t="shared" si="197"/>
        <v>0</v>
      </c>
      <c r="FS34" s="260" t="e">
        <f t="shared" si="198"/>
        <v>#DIV/0!</v>
      </c>
      <c r="FV34" s="526"/>
      <c r="FW34" s="526"/>
      <c r="FX34" s="526"/>
      <c r="FY34" s="526"/>
      <c r="FZ34" s="526"/>
      <c r="GA34" s="526"/>
      <c r="GB34" s="526"/>
      <c r="GC34" s="245" t="s">
        <v>436</v>
      </c>
      <c r="GD34" s="246">
        <v>0</v>
      </c>
      <c r="GE34" s="247" t="str">
        <f>IF(GD34=0%,"No Incluido","Adaptado")</f>
        <v>No Incluido</v>
      </c>
      <c r="GF34" s="254"/>
      <c r="GG34" s="245" t="s">
        <v>432</v>
      </c>
      <c r="GH34" s="246">
        <v>0</v>
      </c>
      <c r="GI34" s="247" t="str">
        <f>IF(GH34=0%,"No Incluido","Adaptado")</f>
        <v>No Incluido</v>
      </c>
      <c r="GL34" s="250">
        <f>GL32+1</f>
        <v>24</v>
      </c>
      <c r="GM34" s="352" t="s">
        <v>476</v>
      </c>
      <c r="GN34" s="353">
        <f t="shared" ref="GN34:GY34" si="213">FF135</f>
        <v>0</v>
      </c>
      <c r="GO34" s="353">
        <f t="shared" si="213"/>
        <v>0</v>
      </c>
      <c r="GP34" s="353">
        <f t="shared" si="213"/>
        <v>0</v>
      </c>
      <c r="GQ34" s="353">
        <f t="shared" si="213"/>
        <v>0</v>
      </c>
      <c r="GR34" s="353">
        <f t="shared" si="213"/>
        <v>0</v>
      </c>
      <c r="GS34" s="353">
        <f t="shared" si="213"/>
        <v>0</v>
      </c>
      <c r="GT34" s="353">
        <f t="shared" si="213"/>
        <v>0</v>
      </c>
      <c r="GU34" s="353">
        <f t="shared" si="213"/>
        <v>0</v>
      </c>
      <c r="GV34" s="353">
        <f t="shared" si="213"/>
        <v>0</v>
      </c>
      <c r="GW34" s="353">
        <f t="shared" si="213"/>
        <v>0</v>
      </c>
      <c r="GX34" s="353">
        <f t="shared" si="213"/>
        <v>0</v>
      </c>
      <c r="GY34" s="353">
        <f t="shared" si="213"/>
        <v>0</v>
      </c>
      <c r="GZ34" s="328">
        <f>SUM(GN34:GY34)</f>
        <v>0</v>
      </c>
      <c r="HA34" s="329" t="e">
        <f t="shared" si="55"/>
        <v>#DIV/0!</v>
      </c>
      <c r="HB34" s="401"/>
      <c r="HD34" s="65" t="s">
        <v>818</v>
      </c>
      <c r="HE34" s="66">
        <v>0</v>
      </c>
      <c r="HF34" s="67">
        <f t="shared" si="77"/>
        <v>0</v>
      </c>
      <c r="HG34" s="68">
        <f t="shared" si="78"/>
        <v>0</v>
      </c>
      <c r="HH34" s="69">
        <v>1</v>
      </c>
      <c r="HI34" s="367">
        <v>0</v>
      </c>
      <c r="HJ34" s="140"/>
      <c r="HM34" s="283"/>
      <c r="HN34" s="316"/>
      <c r="HO34" s="285"/>
      <c r="HP34" s="316"/>
      <c r="HQ34" s="285"/>
      <c r="HR34" s="316"/>
      <c r="HS34" s="285"/>
      <c r="HT34" s="316"/>
      <c r="HU34" s="285"/>
      <c r="HV34" s="316"/>
      <c r="HW34" s="285"/>
      <c r="HX34" s="316"/>
      <c r="HY34" s="285"/>
      <c r="HZ34" s="316"/>
      <c r="IA34" s="285"/>
      <c r="IB34" s="316"/>
      <c r="IC34" s="285"/>
      <c r="ID34" s="316"/>
      <c r="IE34" s="285"/>
      <c r="IF34" s="316"/>
      <c r="IG34" s="285"/>
      <c r="IH34" s="316"/>
      <c r="II34" s="285"/>
      <c r="IJ34" s="316"/>
      <c r="IK34" s="285"/>
      <c r="IL34" s="288"/>
      <c r="IM34" s="285"/>
    </row>
    <row r="35" spans="2:247" ht="14.4" customHeight="1" x14ac:dyDescent="0.3">
      <c r="B35" s="13"/>
      <c r="C35" s="44" t="s">
        <v>612</v>
      </c>
      <c r="D35" s="109" t="e">
        <f>AA8/Z8</f>
        <v>#DIV/0!</v>
      </c>
      <c r="E35" s="113"/>
      <c r="F35" s="113"/>
      <c r="I35" s="44" t="s">
        <v>371</v>
      </c>
      <c r="J35" s="50">
        <f>(D37/J29)/D45</f>
        <v>0</v>
      </c>
      <c r="X35" s="335" t="e">
        <f t="shared" si="181"/>
        <v>#DIV/0!</v>
      </c>
      <c r="Y35" s="336" t="s">
        <v>331</v>
      </c>
      <c r="Z35" s="389">
        <f t="shared" si="182"/>
        <v>0</v>
      </c>
      <c r="AA35" s="299">
        <v>35.461300000000001</v>
      </c>
      <c r="AB35" s="339">
        <f t="shared" si="183"/>
        <v>0</v>
      </c>
      <c r="AD35" s="336" t="str">
        <f t="shared" si="184"/>
        <v>Febrero</v>
      </c>
      <c r="AE35" s="340">
        <f t="shared" si="185"/>
        <v>5.0600000000000005</v>
      </c>
      <c r="AG35" s="390">
        <v>0</v>
      </c>
      <c r="AM35" s="394">
        <f t="shared" si="5"/>
        <v>0</v>
      </c>
      <c r="AN35" s="394">
        <f t="shared" si="6"/>
        <v>0</v>
      </c>
      <c r="AO35" s="394">
        <f t="shared" si="7"/>
        <v>0</v>
      </c>
      <c r="AP35" s="394">
        <f t="shared" si="8"/>
        <v>0</v>
      </c>
      <c r="AQ35" s="395" t="s">
        <v>819</v>
      </c>
      <c r="AR35" s="297">
        <f t="shared" si="9"/>
        <v>0</v>
      </c>
      <c r="AS35" s="396" t="e">
        <f t="shared" si="2"/>
        <v>#DIV/0!</v>
      </c>
      <c r="AT35" s="531"/>
      <c r="AU35" s="531"/>
      <c r="AV35" s="299">
        <v>0</v>
      </c>
      <c r="AW35" s="300">
        <v>0</v>
      </c>
      <c r="AX35" s="301"/>
      <c r="BH35" s="531"/>
      <c r="BI35" s="531"/>
      <c r="BJ35" s="396" t="e">
        <f>$AS$33</f>
        <v>#DIV/0!</v>
      </c>
      <c r="BK35" s="242" t="str">
        <f t="shared" si="19"/>
        <v>C28</v>
      </c>
      <c r="BL35" s="303">
        <f t="shared" si="20"/>
        <v>0</v>
      </c>
      <c r="BM35" s="303">
        <f t="shared" si="20"/>
        <v>0</v>
      </c>
      <c r="BN35" s="303">
        <f t="shared" si="20"/>
        <v>0</v>
      </c>
      <c r="BO35" s="303">
        <f t="shared" si="21"/>
        <v>0</v>
      </c>
      <c r="BP35" s="303">
        <f t="shared" si="22"/>
        <v>0</v>
      </c>
      <c r="BQ35" s="303">
        <f t="shared" si="23"/>
        <v>0</v>
      </c>
      <c r="BR35" s="303">
        <f t="shared" si="24"/>
        <v>0</v>
      </c>
      <c r="BS35" s="303">
        <f t="shared" si="25"/>
        <v>0</v>
      </c>
      <c r="BT35" s="303">
        <f t="shared" si="26"/>
        <v>0</v>
      </c>
      <c r="BU35" s="303">
        <f t="shared" si="27"/>
        <v>0</v>
      </c>
      <c r="BV35" s="303">
        <f t="shared" si="28"/>
        <v>0</v>
      </c>
      <c r="BW35" s="303">
        <f t="shared" si="29"/>
        <v>0</v>
      </c>
      <c r="BX35" s="303">
        <f t="shared" si="30"/>
        <v>0</v>
      </c>
      <c r="BY35" s="303">
        <f t="shared" si="31"/>
        <v>0</v>
      </c>
      <c r="BZ35" s="303">
        <f t="shared" si="32"/>
        <v>0</v>
      </c>
      <c r="CB35" s="531"/>
      <c r="CC35" s="531"/>
      <c r="CD35" s="396" t="e">
        <f>$AS$33</f>
        <v>#DIV/0!</v>
      </c>
      <c r="CE35" s="242" t="str">
        <f>Tabla2[[#This Row],[Columna1]]</f>
        <v>C28</v>
      </c>
      <c r="CF35" s="303">
        <f>Tabla29[[#This Row],[Columna3]]/7</f>
        <v>0</v>
      </c>
      <c r="CG35" s="303">
        <f>Tabla29[[#This Row],[Columna4]]/4.2</f>
        <v>0</v>
      </c>
      <c r="CH35" s="303">
        <f>Tabla2[[#This Row],[Columna16]]</f>
        <v>0</v>
      </c>
      <c r="CI35" s="303" t="e">
        <f>(Tabla29[[#This Row],[Columna4]]*CI$5/$BZ$5)*$CH$4</f>
        <v>#DIV/0!</v>
      </c>
      <c r="CJ35" s="303" t="e">
        <f>(Tabla29[[#This Row],[Columna4]]*CJ$5/$BZ$5)*$CH$4</f>
        <v>#DIV/0!</v>
      </c>
      <c r="CK35" s="303" t="e">
        <f>(Tabla29[[#This Row],[Columna4]]*CK$5/$BZ$5)*$CH$4</f>
        <v>#DIV/0!</v>
      </c>
      <c r="CL35" s="303" t="e">
        <f>(Tabla29[[#This Row],[Columna4]]*CL$5/$BZ$5)*$CH$4</f>
        <v>#DIV/0!</v>
      </c>
      <c r="CM35" s="303" t="e">
        <f>(Tabla29[[#This Row],[Columna4]]*CM$5/$BZ$5)*$CH$4</f>
        <v>#DIV/0!</v>
      </c>
      <c r="CN35" s="303" t="e">
        <f>(Tabla29[[#This Row],[Columna4]]*CN$5/$BZ$5)*$CH$4</f>
        <v>#DIV/0!</v>
      </c>
      <c r="CO35" s="303" t="e">
        <f>(Tabla29[[#This Row],[Columna4]]*CO$5/$BZ$5)*$CH$4</f>
        <v>#DIV/0!</v>
      </c>
      <c r="CP35" s="303" t="e">
        <f>(Tabla29[[#This Row],[Columna4]]*CP$5/$BZ$5)*$CH$4</f>
        <v>#DIV/0!</v>
      </c>
      <c r="CQ35" s="303" t="e">
        <f>(Tabla29[[#This Row],[Columna4]]*CQ$5/$BZ$5)*$CH$4</f>
        <v>#DIV/0!</v>
      </c>
      <c r="CR35" s="303" t="e">
        <f>(Tabla29[[#This Row],[Columna4]]*CR$5/$BZ$5)*$CH$4</f>
        <v>#DIV/0!</v>
      </c>
      <c r="CS35" s="303" t="e">
        <f>(Tabla29[[#This Row],[Columna4]]*CS$5/$BZ$5)*$CH$4</f>
        <v>#DIV/0!</v>
      </c>
      <c r="CT35" s="303" t="e">
        <f>(Tabla29[[#This Row],[Columna4]]*CT$5/$BZ$5)*$CH$4</f>
        <v>#DIV/0!</v>
      </c>
      <c r="CV35" s="531"/>
      <c r="CW35" s="531"/>
      <c r="CX35" s="396" t="e">
        <f>$AS$33</f>
        <v>#DIV/0!</v>
      </c>
      <c r="CY35" s="242" t="str">
        <f>Tabla2[[#This Row],[Columna1]]</f>
        <v>C28</v>
      </c>
      <c r="CZ35" s="303" t="e">
        <f>Tabla292[[#This Row],[Columna3]]/7</f>
        <v>#DIV/0!</v>
      </c>
      <c r="DA35" s="303" t="e">
        <f>Tabla292[[#This Row],[Columna4]]/4.2</f>
        <v>#DIV/0!</v>
      </c>
      <c r="DB35" s="303" t="e">
        <f>Tabla29[[#This Row],[Columna16]]</f>
        <v>#DIV/0!</v>
      </c>
      <c r="DC35" s="303" t="e">
        <f>(Tabla292[[#This Row],[Columna4]]*DC$5/$CT$5)*$DB$4</f>
        <v>#DIV/0!</v>
      </c>
      <c r="DD35" s="303" t="e">
        <f>(Tabla292[[#This Row],[Columna4]]*DD$5/$CT$5)*$DB$4</f>
        <v>#DIV/0!</v>
      </c>
      <c r="DE35" s="303" t="e">
        <f>(Tabla292[[#This Row],[Columna4]]*DE$5/$CT$5)*$DB$4</f>
        <v>#DIV/0!</v>
      </c>
      <c r="DF35" s="303" t="e">
        <f>(Tabla292[[#This Row],[Columna4]]*DF$5/$CT$5)*$DB$4</f>
        <v>#DIV/0!</v>
      </c>
      <c r="DG35" s="303" t="e">
        <f>(Tabla292[[#This Row],[Columna4]]*DG$5/$CT$5)*$DB$4</f>
        <v>#DIV/0!</v>
      </c>
      <c r="DH35" s="303" t="e">
        <f>(Tabla292[[#This Row],[Columna4]]*DH$5/$CT$5)*$DB$4</f>
        <v>#DIV/0!</v>
      </c>
      <c r="DI35" s="303" t="e">
        <f>(Tabla292[[#This Row],[Columna4]]*DI$5/$CT$5)*$DB$4</f>
        <v>#DIV/0!</v>
      </c>
      <c r="DJ35" s="303" t="e">
        <f>(Tabla292[[#This Row],[Columna4]]*DJ$5/$CT$5)*$DB$4</f>
        <v>#DIV/0!</v>
      </c>
      <c r="DK35" s="303" t="e">
        <f>(Tabla292[[#This Row],[Columna4]]*DK$5/$CT$5)*$DB$4</f>
        <v>#DIV/0!</v>
      </c>
      <c r="DL35" s="303" t="e">
        <f>(Tabla292[[#This Row],[Columna4]]*DL$5/$CT$5)*$DB$4</f>
        <v>#DIV/0!</v>
      </c>
      <c r="DM35" s="303" t="e">
        <f>(Tabla292[[#This Row],[Columna4]]*DM$5/$CT$5)*$DB$4</f>
        <v>#DIV/0!</v>
      </c>
      <c r="DN35" s="303" t="e">
        <f>(Tabla292[[#This Row],[Columna4]]*DN$5/$CT$5)*$DB$4</f>
        <v>#DIV/0!</v>
      </c>
      <c r="DP35" s="531"/>
      <c r="DQ35" s="531"/>
      <c r="DR35" s="396" t="e">
        <f>$AS$33</f>
        <v>#DIV/0!</v>
      </c>
      <c r="DS35" s="242" t="str">
        <f>Tabla2[[#This Row],[Columna1]]</f>
        <v>C28</v>
      </c>
      <c r="DT35" s="303" t="e">
        <f>Tabla2926[[#This Row],[Columna3]]/7</f>
        <v>#DIV/0!</v>
      </c>
      <c r="DU35" s="303" t="e">
        <f>Tabla2926[[#This Row],[Columna4]]/4.2</f>
        <v>#DIV/0!</v>
      </c>
      <c r="DV35" s="303" t="e">
        <f>Tabla292[[#This Row],[Columna16]]</f>
        <v>#DIV/0!</v>
      </c>
      <c r="DW35" s="303" t="e">
        <f>(Tabla2926[[#This Row],[Columna4]]*DW$5/$DN$5)*$DV$4</f>
        <v>#DIV/0!</v>
      </c>
      <c r="DX35" s="303" t="e">
        <f>(Tabla2926[[#This Row],[Columna4]]*DX$5/$DN$5)*$DV$4</f>
        <v>#DIV/0!</v>
      </c>
      <c r="DY35" s="303" t="e">
        <f>(Tabla2926[[#This Row],[Columna4]]*DY$5/$DN$5)*$DV$4</f>
        <v>#DIV/0!</v>
      </c>
      <c r="DZ35" s="303" t="e">
        <f>(Tabla2926[[#This Row],[Columna4]]*DZ$5/$DN$5)*$DV$4</f>
        <v>#DIV/0!</v>
      </c>
      <c r="EA35" s="303" t="e">
        <f>(Tabla2926[[#This Row],[Columna4]]*EA$5/$DN$5)*$DV$4</f>
        <v>#DIV/0!</v>
      </c>
      <c r="EB35" s="303" t="e">
        <f>(Tabla2926[[#This Row],[Columna4]]*EB$5/$DN$5)*$DV$4</f>
        <v>#DIV/0!</v>
      </c>
      <c r="EC35" s="303" t="e">
        <f>(Tabla2926[[#This Row],[Columna4]]*EC$5/$DN$5)*$DV$4</f>
        <v>#DIV/0!</v>
      </c>
      <c r="ED35" s="303" t="e">
        <f>(Tabla2926[[#This Row],[Columna4]]*ED$5/$DN$5)*$DV$4</f>
        <v>#DIV/0!</v>
      </c>
      <c r="EE35" s="303" t="e">
        <f>(Tabla2926[[#This Row],[Columna4]]*EE$5/$DN$5)*$DV$4</f>
        <v>#DIV/0!</v>
      </c>
      <c r="EF35" s="303" t="e">
        <f>(Tabla2926[[#This Row],[Columna4]]*EF$5/$DN$5)*$DV$4</f>
        <v>#DIV/0!</v>
      </c>
      <c r="EG35" s="303" t="e">
        <f>(Tabla2926[[#This Row],[Columna4]]*EG$5/$DN$5)*$DV$4</f>
        <v>#DIV/0!</v>
      </c>
      <c r="EH35" s="303" t="e">
        <f>(Tabla2926[[#This Row],[Columna4]]*EH$5/$DN$5)*$DV$4</f>
        <v>#DIV/0!</v>
      </c>
      <c r="EJ35" s="531"/>
      <c r="EK35" s="531"/>
      <c r="EL35" s="396" t="e">
        <f>$AS$33</f>
        <v>#DIV/0!</v>
      </c>
      <c r="EM35" s="242" t="str">
        <f>Tabla2[[#This Row],[Columna1]]</f>
        <v>C28</v>
      </c>
      <c r="EN35" s="303" t="e">
        <f>Tabla29268[[#This Row],[Columna3]]/7</f>
        <v>#DIV/0!</v>
      </c>
      <c r="EO35" s="303" t="e">
        <f>Tabla29268[[#This Row],[Columna4]]/4.2</f>
        <v>#DIV/0!</v>
      </c>
      <c r="EP35" s="303" t="e">
        <f>Tabla2926[[#This Row],[Columna16]]</f>
        <v>#DIV/0!</v>
      </c>
      <c r="EQ35" s="303" t="e">
        <f>(Tabla29268[[#This Row],[Columna4]]*EQ$5/$EH$5)*$EP$4</f>
        <v>#DIV/0!</v>
      </c>
      <c r="ER35" s="303" t="e">
        <f>(Tabla29268[[#This Row],[Columna4]]*ER$5/$EH$5)*$EP$4</f>
        <v>#DIV/0!</v>
      </c>
      <c r="ES35" s="303" t="e">
        <f>(Tabla29268[[#This Row],[Columna4]]*ES$5/$EH$5)*$EP$4</f>
        <v>#DIV/0!</v>
      </c>
      <c r="ET35" s="303" t="e">
        <f>(Tabla29268[[#This Row],[Columna4]]*ET$5/$EH$5)*$EP$4</f>
        <v>#DIV/0!</v>
      </c>
      <c r="EU35" s="303" t="e">
        <f>(Tabla29268[[#This Row],[Columna4]]*EU$5/$EH$5)*$EP$4</f>
        <v>#DIV/0!</v>
      </c>
      <c r="EV35" s="303" t="e">
        <f>(Tabla29268[[#This Row],[Columna4]]*EV$5/$EH$5)*$EP$4</f>
        <v>#DIV/0!</v>
      </c>
      <c r="EW35" s="303" t="e">
        <f>(Tabla29268[[#This Row],[Columna4]]*EW$5/$EH$5)*$EP$4</f>
        <v>#DIV/0!</v>
      </c>
      <c r="EX35" s="303" t="e">
        <f>(Tabla29268[[#This Row],[Columna4]]*EX$5/$EH$5)*$EP$4</f>
        <v>#DIV/0!</v>
      </c>
      <c r="EY35" s="303" t="e">
        <f>(Tabla29268[[#This Row],[Columna4]]*EY$5/$EH$5)*$EP$4</f>
        <v>#DIV/0!</v>
      </c>
      <c r="EZ35" s="303" t="e">
        <f>(Tabla29268[[#This Row],[Columna4]]*EZ$5/$EH$5)*$EP$4</f>
        <v>#DIV/0!</v>
      </c>
      <c r="FA35" s="303" t="e">
        <f>(Tabla29268[[#This Row],[Columna4]]*FA$5/$EH$5)*$EP$4</f>
        <v>#DIV/0!</v>
      </c>
      <c r="FB35" s="303" t="e">
        <f>(Tabla29268[[#This Row],[Columna4]]*FB$5/$EH$5)*$EP$4</f>
        <v>#DIV/0!</v>
      </c>
      <c r="FD35" s="397" t="s">
        <v>29</v>
      </c>
      <c r="FE35" s="399" t="s">
        <v>26</v>
      </c>
      <c r="FF35" s="400" t="e">
        <f t="shared" si="212"/>
        <v>#DIV/0!</v>
      </c>
      <c r="FG35" s="400" t="e">
        <f t="shared" si="212"/>
        <v>#DIV/0!</v>
      </c>
      <c r="FH35" s="400" t="e">
        <f t="shared" si="212"/>
        <v>#DIV/0!</v>
      </c>
      <c r="FI35" s="400" t="e">
        <f t="shared" si="212"/>
        <v>#DIV/0!</v>
      </c>
      <c r="FJ35" s="400" t="e">
        <f t="shared" si="212"/>
        <v>#DIV/0!</v>
      </c>
      <c r="FK35" s="400" t="e">
        <f t="shared" si="212"/>
        <v>#DIV/0!</v>
      </c>
      <c r="FL35" s="400" t="e">
        <f t="shared" si="212"/>
        <v>#DIV/0!</v>
      </c>
      <c r="FM35" s="400" t="e">
        <f t="shared" si="212"/>
        <v>#DIV/0!</v>
      </c>
      <c r="FN35" s="400" t="e">
        <f t="shared" si="212"/>
        <v>#DIV/0!</v>
      </c>
      <c r="FO35" s="400" t="e">
        <f t="shared" si="212"/>
        <v>#DIV/0!</v>
      </c>
      <c r="FP35" s="400" t="e">
        <f t="shared" si="212"/>
        <v>#DIV/0!</v>
      </c>
      <c r="FQ35" s="400" t="e">
        <f t="shared" si="212"/>
        <v>#DIV/0!</v>
      </c>
      <c r="FR35" s="363" t="e">
        <f t="shared" si="197"/>
        <v>#DIV/0!</v>
      </c>
      <c r="FS35" s="260" t="e">
        <f t="shared" si="198"/>
        <v>#DIV/0!</v>
      </c>
      <c r="FV35" s="259"/>
      <c r="GC35" s="245"/>
      <c r="GD35" s="246">
        <v>0</v>
      </c>
      <c r="GE35" s="247" t="str">
        <f>IF(GD35=0%,"No Incluido","Adaptado")</f>
        <v>No Incluido</v>
      </c>
      <c r="GF35" s="248"/>
      <c r="GG35" s="245" t="s">
        <v>433</v>
      </c>
      <c r="GH35" s="246">
        <v>0</v>
      </c>
      <c r="GI35" s="247" t="str">
        <f>IF(GH35=0%,"No Incluido","Adaptado")</f>
        <v>No Incluido</v>
      </c>
      <c r="GJ35" s="262"/>
      <c r="GL35" s="250">
        <f>GL34+1</f>
        <v>25</v>
      </c>
      <c r="GM35" s="352" t="s">
        <v>477</v>
      </c>
      <c r="GN35" s="353">
        <f t="shared" ref="GN35:GY35" si="214">FF162</f>
        <v>0</v>
      </c>
      <c r="GO35" s="353">
        <f t="shared" si="214"/>
        <v>0</v>
      </c>
      <c r="GP35" s="353">
        <f t="shared" si="214"/>
        <v>0</v>
      </c>
      <c r="GQ35" s="353">
        <f t="shared" si="214"/>
        <v>0</v>
      </c>
      <c r="GR35" s="353">
        <f t="shared" si="214"/>
        <v>0</v>
      </c>
      <c r="GS35" s="353">
        <f t="shared" si="214"/>
        <v>0</v>
      </c>
      <c r="GT35" s="353">
        <f t="shared" si="214"/>
        <v>0</v>
      </c>
      <c r="GU35" s="353">
        <f t="shared" si="214"/>
        <v>0</v>
      </c>
      <c r="GV35" s="353">
        <f t="shared" si="214"/>
        <v>0</v>
      </c>
      <c r="GW35" s="353">
        <f t="shared" si="214"/>
        <v>0</v>
      </c>
      <c r="GX35" s="353">
        <f t="shared" si="214"/>
        <v>0</v>
      </c>
      <c r="GY35" s="353">
        <f t="shared" si="214"/>
        <v>0</v>
      </c>
      <c r="GZ35" s="328">
        <f>SUM(GN35:GY35)</f>
        <v>0</v>
      </c>
      <c r="HA35" s="329" t="e">
        <f t="shared" si="55"/>
        <v>#DIV/0!</v>
      </c>
      <c r="HD35" s="65" t="s">
        <v>820</v>
      </c>
      <c r="HE35" s="66">
        <v>0</v>
      </c>
      <c r="HF35" s="67">
        <f t="shared" si="77"/>
        <v>0</v>
      </c>
      <c r="HG35" s="68">
        <f t="shared" si="78"/>
        <v>0</v>
      </c>
      <c r="HH35" s="69">
        <v>1</v>
      </c>
      <c r="HI35" s="367">
        <v>0</v>
      </c>
      <c r="HJ35" s="140"/>
      <c r="HM35" s="330" t="s">
        <v>596</v>
      </c>
      <c r="HN35" s="316">
        <f>$FF$23</f>
        <v>-1.6666666666666666E-2</v>
      </c>
      <c r="HO35" s="354" t="e">
        <f>+HN35/HN9</f>
        <v>#DIV/0!</v>
      </c>
      <c r="HP35" s="316">
        <f>$FG$23</f>
        <v>-1.6666666666666666E-2</v>
      </c>
      <c r="HQ35" s="354" t="e">
        <f>+HP35/HP9</f>
        <v>#DIV/0!</v>
      </c>
      <c r="HR35" s="316">
        <f>$FH$23</f>
        <v>-1.6666666666666666E-2</v>
      </c>
      <c r="HS35" s="354" t="e">
        <f>+HR35/HR9</f>
        <v>#DIV/0!</v>
      </c>
      <c r="HT35" s="316">
        <f>$FI$23</f>
        <v>-1.6666666666666666E-2</v>
      </c>
      <c r="HU35" s="354" t="e">
        <f>+HT35/HT9</f>
        <v>#DIV/0!</v>
      </c>
      <c r="HV35" s="316">
        <f>$FJ$23</f>
        <v>-1.6666666666666666E-2</v>
      </c>
      <c r="HW35" s="354" t="e">
        <f>+HV35/HV9</f>
        <v>#DIV/0!</v>
      </c>
      <c r="HX35" s="316">
        <f>$FK$23</f>
        <v>-1.6666666666666666E-2</v>
      </c>
      <c r="HY35" s="354" t="e">
        <f>+HX35/HX9</f>
        <v>#DIV/0!</v>
      </c>
      <c r="HZ35" s="316">
        <f>$FL$23</f>
        <v>-1.6666666666666666E-2</v>
      </c>
      <c r="IA35" s="354" t="e">
        <f>+HZ35/HZ9</f>
        <v>#DIV/0!</v>
      </c>
      <c r="IB35" s="316">
        <f>$FM$23</f>
        <v>-1.6666666666666666E-2</v>
      </c>
      <c r="IC35" s="354" t="e">
        <f>+IB35/IB9</f>
        <v>#DIV/0!</v>
      </c>
      <c r="ID35" s="316">
        <f>$FN$23</f>
        <v>-1.6666666666666666E-2</v>
      </c>
      <c r="IE35" s="354" t="e">
        <f>+ID35/ID9</f>
        <v>#DIV/0!</v>
      </c>
      <c r="IF35" s="316">
        <f>$FO$23</f>
        <v>-1.6666666666666666E-2</v>
      </c>
      <c r="IG35" s="354" t="e">
        <f>+IF35/IF9</f>
        <v>#DIV/0!</v>
      </c>
      <c r="IH35" s="316">
        <f>$FP$23</f>
        <v>-1.6666666666666666E-2</v>
      </c>
      <c r="II35" s="354" t="e">
        <f>+IH35/IH9</f>
        <v>#DIV/0!</v>
      </c>
      <c r="IJ35" s="316">
        <f>$FQ$23</f>
        <v>-1.6666666666666666E-2</v>
      </c>
      <c r="IK35" s="354" t="e">
        <f>+IJ35/IJ9</f>
        <v>#DIV/0!</v>
      </c>
      <c r="IL35" s="333">
        <f>HN35+HP35+HR35+HT35+HV35+HX35+HZ35+IB35+ID35+IF35+IH35+IJ35</f>
        <v>-0.19999999999999998</v>
      </c>
      <c r="IM35" s="354" t="e">
        <f>+IL35/IL9</f>
        <v>#DIV/0!</v>
      </c>
    </row>
    <row r="36" spans="2:247" ht="14.4" customHeight="1" x14ac:dyDescent="0.3">
      <c r="B36" s="13"/>
      <c r="C36" s="44" t="s">
        <v>617</v>
      </c>
      <c r="D36" s="115">
        <v>1.1399999999999999</v>
      </c>
      <c r="E36" s="13"/>
      <c r="F36" s="13"/>
      <c r="G36" s="112"/>
      <c r="X36" s="335" t="e">
        <f t="shared" si="181"/>
        <v>#DIV/0!</v>
      </c>
      <c r="Y36" s="336" t="s">
        <v>332</v>
      </c>
      <c r="Z36" s="389">
        <f t="shared" si="182"/>
        <v>0</v>
      </c>
      <c r="AA36" s="299">
        <v>35.521000000000001</v>
      </c>
      <c r="AB36" s="339">
        <f t="shared" si="183"/>
        <v>0</v>
      </c>
      <c r="AD36" s="336" t="str">
        <f t="shared" si="184"/>
        <v>Marzo</v>
      </c>
      <c r="AE36" s="340">
        <f t="shared" si="185"/>
        <v>5.5100000000000007</v>
      </c>
      <c r="AG36" s="390">
        <v>0</v>
      </c>
      <c r="AM36" s="394">
        <f t="shared" si="5"/>
        <v>0</v>
      </c>
      <c r="AN36" s="394">
        <f t="shared" si="6"/>
        <v>0</v>
      </c>
      <c r="AO36" s="394">
        <f t="shared" si="7"/>
        <v>0</v>
      </c>
      <c r="AP36" s="394">
        <f t="shared" si="8"/>
        <v>0</v>
      </c>
      <c r="AQ36" s="395" t="s">
        <v>821</v>
      </c>
      <c r="AR36" s="297">
        <f t="shared" si="9"/>
        <v>0</v>
      </c>
      <c r="AS36" s="396" t="e">
        <f t="shared" si="2"/>
        <v>#DIV/0!</v>
      </c>
      <c r="AT36" s="531"/>
      <c r="AU36" s="531"/>
      <c r="AV36" s="299">
        <v>0</v>
      </c>
      <c r="AW36" s="300">
        <v>0</v>
      </c>
      <c r="AX36" s="301"/>
      <c r="BH36" s="531"/>
      <c r="BI36" s="531"/>
      <c r="BJ36" s="396" t="e">
        <f>$AS$34</f>
        <v>#DIV/0!</v>
      </c>
      <c r="BK36" s="242" t="str">
        <f t="shared" si="19"/>
        <v>C29</v>
      </c>
      <c r="BL36" s="303">
        <f t="shared" si="20"/>
        <v>0</v>
      </c>
      <c r="BM36" s="303">
        <f t="shared" si="20"/>
        <v>0</v>
      </c>
      <c r="BN36" s="303">
        <f t="shared" si="20"/>
        <v>0</v>
      </c>
      <c r="BO36" s="303">
        <f t="shared" si="21"/>
        <v>0</v>
      </c>
      <c r="BP36" s="303">
        <f t="shared" si="22"/>
        <v>0</v>
      </c>
      <c r="BQ36" s="303">
        <f t="shared" si="23"/>
        <v>0</v>
      </c>
      <c r="BR36" s="303">
        <f t="shared" si="24"/>
        <v>0</v>
      </c>
      <c r="BS36" s="303">
        <f t="shared" si="25"/>
        <v>0</v>
      </c>
      <c r="BT36" s="303">
        <f t="shared" si="26"/>
        <v>0</v>
      </c>
      <c r="BU36" s="303">
        <f t="shared" si="27"/>
        <v>0</v>
      </c>
      <c r="BV36" s="303">
        <f t="shared" si="28"/>
        <v>0</v>
      </c>
      <c r="BW36" s="303">
        <f t="shared" si="29"/>
        <v>0</v>
      </c>
      <c r="BX36" s="303">
        <f t="shared" si="30"/>
        <v>0</v>
      </c>
      <c r="BY36" s="303">
        <f t="shared" si="31"/>
        <v>0</v>
      </c>
      <c r="BZ36" s="303">
        <f t="shared" si="32"/>
        <v>0</v>
      </c>
      <c r="CB36" s="531"/>
      <c r="CC36" s="531"/>
      <c r="CD36" s="396" t="e">
        <f>$AS$34</f>
        <v>#DIV/0!</v>
      </c>
      <c r="CE36" s="242" t="str">
        <f>Tabla2[[#This Row],[Columna1]]</f>
        <v>C29</v>
      </c>
      <c r="CF36" s="303">
        <f>Tabla29[[#This Row],[Columna3]]/7</f>
        <v>0</v>
      </c>
      <c r="CG36" s="303">
        <f>Tabla29[[#This Row],[Columna4]]/4.2</f>
        <v>0</v>
      </c>
      <c r="CH36" s="303">
        <f>Tabla2[[#This Row],[Columna16]]</f>
        <v>0</v>
      </c>
      <c r="CI36" s="303" t="e">
        <f>(Tabla29[[#This Row],[Columna4]]*CI$5/$BZ$5)*$CH$4</f>
        <v>#DIV/0!</v>
      </c>
      <c r="CJ36" s="303" t="e">
        <f>(Tabla29[[#This Row],[Columna4]]*CJ$5/$BZ$5)*$CH$4</f>
        <v>#DIV/0!</v>
      </c>
      <c r="CK36" s="303" t="e">
        <f>(Tabla29[[#This Row],[Columna4]]*CK$5/$BZ$5)*$CH$4</f>
        <v>#DIV/0!</v>
      </c>
      <c r="CL36" s="303" t="e">
        <f>(Tabla29[[#This Row],[Columna4]]*CL$5/$BZ$5)*$CH$4</f>
        <v>#DIV/0!</v>
      </c>
      <c r="CM36" s="303" t="e">
        <f>(Tabla29[[#This Row],[Columna4]]*CM$5/$BZ$5)*$CH$4</f>
        <v>#DIV/0!</v>
      </c>
      <c r="CN36" s="303" t="e">
        <f>(Tabla29[[#This Row],[Columna4]]*CN$5/$BZ$5)*$CH$4</f>
        <v>#DIV/0!</v>
      </c>
      <c r="CO36" s="303" t="e">
        <f>(Tabla29[[#This Row],[Columna4]]*CO$5/$BZ$5)*$CH$4</f>
        <v>#DIV/0!</v>
      </c>
      <c r="CP36" s="303" t="e">
        <f>(Tabla29[[#This Row],[Columna4]]*CP$5/$BZ$5)*$CH$4</f>
        <v>#DIV/0!</v>
      </c>
      <c r="CQ36" s="303" t="e">
        <f>(Tabla29[[#This Row],[Columna4]]*CQ$5/$BZ$5)*$CH$4</f>
        <v>#DIV/0!</v>
      </c>
      <c r="CR36" s="303" t="e">
        <f>(Tabla29[[#This Row],[Columna4]]*CR$5/$BZ$5)*$CH$4</f>
        <v>#DIV/0!</v>
      </c>
      <c r="CS36" s="303" t="e">
        <f>(Tabla29[[#This Row],[Columna4]]*CS$5/$BZ$5)*$CH$4</f>
        <v>#DIV/0!</v>
      </c>
      <c r="CT36" s="303" t="e">
        <f>(Tabla29[[#This Row],[Columna4]]*CT$5/$BZ$5)*$CH$4</f>
        <v>#DIV/0!</v>
      </c>
      <c r="CV36" s="531"/>
      <c r="CW36" s="531"/>
      <c r="CX36" s="396" t="e">
        <f>$AS$34</f>
        <v>#DIV/0!</v>
      </c>
      <c r="CY36" s="242" t="str">
        <f>Tabla2[[#This Row],[Columna1]]</f>
        <v>C29</v>
      </c>
      <c r="CZ36" s="303" t="e">
        <f>Tabla292[[#This Row],[Columna3]]/7</f>
        <v>#DIV/0!</v>
      </c>
      <c r="DA36" s="303" t="e">
        <f>Tabla292[[#This Row],[Columna4]]/4.2</f>
        <v>#DIV/0!</v>
      </c>
      <c r="DB36" s="303" t="e">
        <f>Tabla29[[#This Row],[Columna16]]</f>
        <v>#DIV/0!</v>
      </c>
      <c r="DC36" s="303" t="e">
        <f>(Tabla292[[#This Row],[Columna4]]*DC$5/$CT$5)*$DB$4</f>
        <v>#DIV/0!</v>
      </c>
      <c r="DD36" s="303" t="e">
        <f>(Tabla292[[#This Row],[Columna4]]*DD$5/$CT$5)*$DB$4</f>
        <v>#DIV/0!</v>
      </c>
      <c r="DE36" s="303" t="e">
        <f>(Tabla292[[#This Row],[Columna4]]*DE$5/$CT$5)*$DB$4</f>
        <v>#DIV/0!</v>
      </c>
      <c r="DF36" s="303" t="e">
        <f>(Tabla292[[#This Row],[Columna4]]*DF$5/$CT$5)*$DB$4</f>
        <v>#DIV/0!</v>
      </c>
      <c r="DG36" s="303" t="e">
        <f>(Tabla292[[#This Row],[Columna4]]*DG$5/$CT$5)*$DB$4</f>
        <v>#DIV/0!</v>
      </c>
      <c r="DH36" s="303" t="e">
        <f>(Tabla292[[#This Row],[Columna4]]*DH$5/$CT$5)*$DB$4</f>
        <v>#DIV/0!</v>
      </c>
      <c r="DI36" s="303" t="e">
        <f>(Tabla292[[#This Row],[Columna4]]*DI$5/$CT$5)*$DB$4</f>
        <v>#DIV/0!</v>
      </c>
      <c r="DJ36" s="303" t="e">
        <f>(Tabla292[[#This Row],[Columna4]]*DJ$5/$CT$5)*$DB$4</f>
        <v>#DIV/0!</v>
      </c>
      <c r="DK36" s="303" t="e">
        <f>(Tabla292[[#This Row],[Columna4]]*DK$5/$CT$5)*$DB$4</f>
        <v>#DIV/0!</v>
      </c>
      <c r="DL36" s="303" t="e">
        <f>(Tabla292[[#This Row],[Columna4]]*DL$5/$CT$5)*$DB$4</f>
        <v>#DIV/0!</v>
      </c>
      <c r="DM36" s="303" t="e">
        <f>(Tabla292[[#This Row],[Columna4]]*DM$5/$CT$5)*$DB$4</f>
        <v>#DIV/0!</v>
      </c>
      <c r="DN36" s="303" t="e">
        <f>(Tabla292[[#This Row],[Columna4]]*DN$5/$CT$5)*$DB$4</f>
        <v>#DIV/0!</v>
      </c>
      <c r="DP36" s="531"/>
      <c r="DQ36" s="531"/>
      <c r="DR36" s="396" t="e">
        <f>$AS$34</f>
        <v>#DIV/0!</v>
      </c>
      <c r="DS36" s="242" t="str">
        <f>Tabla2[[#This Row],[Columna1]]</f>
        <v>C29</v>
      </c>
      <c r="DT36" s="303" t="e">
        <f>Tabla2926[[#This Row],[Columna3]]/7</f>
        <v>#DIV/0!</v>
      </c>
      <c r="DU36" s="303" t="e">
        <f>Tabla2926[[#This Row],[Columna4]]/4.2</f>
        <v>#DIV/0!</v>
      </c>
      <c r="DV36" s="303" t="e">
        <f>Tabla292[[#This Row],[Columna16]]</f>
        <v>#DIV/0!</v>
      </c>
      <c r="DW36" s="303" t="e">
        <f>(Tabla2926[[#This Row],[Columna4]]*DW$5/$DN$5)*$DV$4</f>
        <v>#DIV/0!</v>
      </c>
      <c r="DX36" s="303" t="e">
        <f>(Tabla2926[[#This Row],[Columna4]]*DX$5/$DN$5)*$DV$4</f>
        <v>#DIV/0!</v>
      </c>
      <c r="DY36" s="303" t="e">
        <f>(Tabla2926[[#This Row],[Columna4]]*DY$5/$DN$5)*$DV$4</f>
        <v>#DIV/0!</v>
      </c>
      <c r="DZ36" s="303" t="e">
        <f>(Tabla2926[[#This Row],[Columna4]]*DZ$5/$DN$5)*$DV$4</f>
        <v>#DIV/0!</v>
      </c>
      <c r="EA36" s="303" t="e">
        <f>(Tabla2926[[#This Row],[Columna4]]*EA$5/$DN$5)*$DV$4</f>
        <v>#DIV/0!</v>
      </c>
      <c r="EB36" s="303" t="e">
        <f>(Tabla2926[[#This Row],[Columna4]]*EB$5/$DN$5)*$DV$4</f>
        <v>#DIV/0!</v>
      </c>
      <c r="EC36" s="303" t="e">
        <f>(Tabla2926[[#This Row],[Columna4]]*EC$5/$DN$5)*$DV$4</f>
        <v>#DIV/0!</v>
      </c>
      <c r="ED36" s="303" t="e">
        <f>(Tabla2926[[#This Row],[Columna4]]*ED$5/$DN$5)*$DV$4</f>
        <v>#DIV/0!</v>
      </c>
      <c r="EE36" s="303" t="e">
        <f>(Tabla2926[[#This Row],[Columna4]]*EE$5/$DN$5)*$DV$4</f>
        <v>#DIV/0!</v>
      </c>
      <c r="EF36" s="303" t="e">
        <f>(Tabla2926[[#This Row],[Columna4]]*EF$5/$DN$5)*$DV$4</f>
        <v>#DIV/0!</v>
      </c>
      <c r="EG36" s="303" t="e">
        <f>(Tabla2926[[#This Row],[Columna4]]*EG$5/$DN$5)*$DV$4</f>
        <v>#DIV/0!</v>
      </c>
      <c r="EH36" s="303" t="e">
        <f>(Tabla2926[[#This Row],[Columna4]]*EH$5/$DN$5)*$DV$4</f>
        <v>#DIV/0!</v>
      </c>
      <c r="EJ36" s="531"/>
      <c r="EK36" s="531"/>
      <c r="EL36" s="396" t="e">
        <f>$AS$34</f>
        <v>#DIV/0!</v>
      </c>
      <c r="EM36" s="242" t="str">
        <f>Tabla2[[#This Row],[Columna1]]</f>
        <v>C29</v>
      </c>
      <c r="EN36" s="303" t="e">
        <f>Tabla29268[[#This Row],[Columna3]]/7</f>
        <v>#DIV/0!</v>
      </c>
      <c r="EO36" s="303" t="e">
        <f>Tabla29268[[#This Row],[Columna4]]/4.2</f>
        <v>#DIV/0!</v>
      </c>
      <c r="EP36" s="303" t="e">
        <f>Tabla2926[[#This Row],[Columna16]]</f>
        <v>#DIV/0!</v>
      </c>
      <c r="EQ36" s="303" t="e">
        <f>(Tabla29268[[#This Row],[Columna4]]*EQ$5/$EH$5)*$EP$4</f>
        <v>#DIV/0!</v>
      </c>
      <c r="ER36" s="303" t="e">
        <f>(Tabla29268[[#This Row],[Columna4]]*ER$5/$EH$5)*$EP$4</f>
        <v>#DIV/0!</v>
      </c>
      <c r="ES36" s="303" t="e">
        <f>(Tabla29268[[#This Row],[Columna4]]*ES$5/$EH$5)*$EP$4</f>
        <v>#DIV/0!</v>
      </c>
      <c r="ET36" s="303" t="e">
        <f>(Tabla29268[[#This Row],[Columna4]]*ET$5/$EH$5)*$EP$4</f>
        <v>#DIV/0!</v>
      </c>
      <c r="EU36" s="303" t="e">
        <f>(Tabla29268[[#This Row],[Columna4]]*EU$5/$EH$5)*$EP$4</f>
        <v>#DIV/0!</v>
      </c>
      <c r="EV36" s="303" t="e">
        <f>(Tabla29268[[#This Row],[Columna4]]*EV$5/$EH$5)*$EP$4</f>
        <v>#DIV/0!</v>
      </c>
      <c r="EW36" s="303" t="e">
        <f>(Tabla29268[[#This Row],[Columna4]]*EW$5/$EH$5)*$EP$4</f>
        <v>#DIV/0!</v>
      </c>
      <c r="EX36" s="303" t="e">
        <f>(Tabla29268[[#This Row],[Columna4]]*EX$5/$EH$5)*$EP$4</f>
        <v>#DIV/0!</v>
      </c>
      <c r="EY36" s="303" t="e">
        <f>(Tabla29268[[#This Row],[Columna4]]*EY$5/$EH$5)*$EP$4</f>
        <v>#DIV/0!</v>
      </c>
      <c r="EZ36" s="303" t="e">
        <f>(Tabla29268[[#This Row],[Columna4]]*EZ$5/$EH$5)*$EP$4</f>
        <v>#DIV/0!</v>
      </c>
      <c r="FA36" s="303" t="e">
        <f>(Tabla29268[[#This Row],[Columna4]]*FA$5/$EH$5)*$EP$4</f>
        <v>#DIV/0!</v>
      </c>
      <c r="FB36" s="303" t="e">
        <f>(Tabla29268[[#This Row],[Columna4]]*FB$5/$EH$5)*$EP$4</f>
        <v>#DIV/0!</v>
      </c>
      <c r="FD36" s="397" t="s">
        <v>31</v>
      </c>
      <c r="FE36" s="399" t="s">
        <v>28</v>
      </c>
      <c r="FF36" s="400">
        <f t="shared" si="212"/>
        <v>0</v>
      </c>
      <c r="FG36" s="400">
        <f t="shared" si="212"/>
        <v>0</v>
      </c>
      <c r="FH36" s="400">
        <f t="shared" si="212"/>
        <v>0</v>
      </c>
      <c r="FI36" s="400">
        <f t="shared" si="212"/>
        <v>0</v>
      </c>
      <c r="FJ36" s="400">
        <f t="shared" si="212"/>
        <v>0</v>
      </c>
      <c r="FK36" s="400">
        <f t="shared" si="212"/>
        <v>0</v>
      </c>
      <c r="FL36" s="400">
        <f t="shared" si="212"/>
        <v>0</v>
      </c>
      <c r="FM36" s="400">
        <f t="shared" si="212"/>
        <v>0</v>
      </c>
      <c r="FN36" s="400">
        <f t="shared" si="212"/>
        <v>0</v>
      </c>
      <c r="FO36" s="400">
        <f t="shared" si="212"/>
        <v>0</v>
      </c>
      <c r="FP36" s="400">
        <f t="shared" si="212"/>
        <v>0</v>
      </c>
      <c r="FQ36" s="400">
        <f t="shared" si="212"/>
        <v>0</v>
      </c>
      <c r="FR36" s="363">
        <f t="shared" si="197"/>
        <v>0</v>
      </c>
      <c r="FS36" s="260" t="e">
        <f t="shared" si="198"/>
        <v>#DIV/0!</v>
      </c>
      <c r="FV36" s="275" t="s">
        <v>1</v>
      </c>
      <c r="FW36" s="276" t="s">
        <v>2</v>
      </c>
      <c r="FX36" s="276" t="s">
        <v>3</v>
      </c>
      <c r="FY36" s="276" t="s">
        <v>4</v>
      </c>
      <c r="FZ36" s="276" t="s">
        <v>5</v>
      </c>
      <c r="GA36" s="276" t="s">
        <v>6</v>
      </c>
      <c r="GB36" s="276" t="s">
        <v>7</v>
      </c>
      <c r="GC36" s="276" t="s">
        <v>8</v>
      </c>
      <c r="GD36" s="276" t="s">
        <v>9</v>
      </c>
      <c r="GE36" s="276" t="s">
        <v>10</v>
      </c>
      <c r="GF36" s="276" t="s">
        <v>11</v>
      </c>
      <c r="GG36" s="279" t="s">
        <v>12</v>
      </c>
      <c r="GH36" s="276" t="s">
        <v>13</v>
      </c>
      <c r="GI36" s="277" t="s">
        <v>14</v>
      </c>
      <c r="GJ36" s="280"/>
      <c r="GL36" s="250">
        <f>GL35+1</f>
        <v>26</v>
      </c>
      <c r="GM36" s="352" t="s">
        <v>503</v>
      </c>
      <c r="GN36" s="353">
        <v>0</v>
      </c>
      <c r="GO36" s="353">
        <v>0</v>
      </c>
      <c r="GP36" s="353">
        <v>0</v>
      </c>
      <c r="GQ36" s="353">
        <v>0</v>
      </c>
      <c r="GR36" s="353">
        <v>0</v>
      </c>
      <c r="GS36" s="353">
        <v>0</v>
      </c>
      <c r="GT36" s="353">
        <v>0</v>
      </c>
      <c r="GU36" s="353">
        <v>0</v>
      </c>
      <c r="GV36" s="353">
        <v>0</v>
      </c>
      <c r="GW36" s="353">
        <v>0</v>
      </c>
      <c r="GX36" s="353">
        <v>0</v>
      </c>
      <c r="GY36" s="353">
        <v>0</v>
      </c>
      <c r="GZ36" s="328">
        <f>SUM(GN36:GY36)</f>
        <v>0</v>
      </c>
      <c r="HA36" s="329" t="e">
        <f t="shared" si="55"/>
        <v>#DIV/0!</v>
      </c>
      <c r="HD36" s="65" t="s">
        <v>822</v>
      </c>
      <c r="HE36" s="66">
        <v>0</v>
      </c>
      <c r="HF36" s="67">
        <f t="shared" si="77"/>
        <v>0</v>
      </c>
      <c r="HG36" s="68">
        <f t="shared" si="78"/>
        <v>0</v>
      </c>
      <c r="HH36" s="69">
        <v>1</v>
      </c>
      <c r="HI36" s="367">
        <v>0</v>
      </c>
      <c r="HJ36" s="139"/>
      <c r="HK36" s="402"/>
      <c r="HL36" s="402"/>
      <c r="HM36" s="283"/>
      <c r="HN36" s="316"/>
      <c r="HO36" s="285"/>
      <c r="HP36" s="316"/>
      <c r="HQ36" s="285"/>
      <c r="HR36" s="316"/>
      <c r="HS36" s="285"/>
      <c r="HT36" s="316"/>
      <c r="HU36" s="285"/>
      <c r="HV36" s="316"/>
      <c r="HW36" s="285"/>
      <c r="HX36" s="316"/>
      <c r="HY36" s="285"/>
      <c r="HZ36" s="316"/>
      <c r="IA36" s="285"/>
      <c r="IB36" s="316"/>
      <c r="IC36" s="285"/>
      <c r="ID36" s="316"/>
      <c r="IE36" s="285"/>
      <c r="IF36" s="316"/>
      <c r="IG36" s="285"/>
      <c r="IH36" s="316"/>
      <c r="II36" s="285"/>
      <c r="IJ36" s="316"/>
      <c r="IK36" s="285"/>
      <c r="IL36" s="288"/>
      <c r="IM36" s="285"/>
    </row>
    <row r="37" spans="2:247" ht="14.4" customHeight="1" x14ac:dyDescent="0.3">
      <c r="C37" s="44" t="s">
        <v>760</v>
      </c>
      <c r="D37" s="15">
        <f>D24*D36</f>
        <v>0</v>
      </c>
      <c r="E37" s="15">
        <f t="shared" ref="E37:E41" si="215">D37*30.42</f>
        <v>0</v>
      </c>
      <c r="F37" s="15">
        <f t="shared" ref="F37:F41" si="216">E37*12</f>
        <v>0</v>
      </c>
      <c r="G37" s="112"/>
      <c r="X37" s="403" t="e">
        <f>SUM(X25:X36)</f>
        <v>#DIV/0!</v>
      </c>
      <c r="Y37" s="404"/>
      <c r="Z37" s="405">
        <f>SUM(Z25:Z36)</f>
        <v>0</v>
      </c>
      <c r="AA37" s="406" t="s">
        <v>823</v>
      </c>
      <c r="AB37" s="407">
        <f>AVERAGE(AB25:AB36)</f>
        <v>0</v>
      </c>
      <c r="AM37" s="394">
        <f t="shared" si="5"/>
        <v>0</v>
      </c>
      <c r="AN37" s="394">
        <f t="shared" si="6"/>
        <v>0</v>
      </c>
      <c r="AO37" s="394">
        <f t="shared" si="7"/>
        <v>0</v>
      </c>
      <c r="AP37" s="394">
        <f t="shared" si="8"/>
        <v>0</v>
      </c>
      <c r="AQ37" s="395" t="s">
        <v>824</v>
      </c>
      <c r="AR37" s="297">
        <f t="shared" si="9"/>
        <v>0</v>
      </c>
      <c r="AS37" s="396" t="e">
        <f t="shared" si="2"/>
        <v>#DIV/0!</v>
      </c>
      <c r="AT37" s="531"/>
      <c r="AU37" s="531"/>
      <c r="AV37" s="299">
        <v>0</v>
      </c>
      <c r="AW37" s="300">
        <v>0</v>
      </c>
      <c r="AX37" s="301"/>
      <c r="BH37" s="531"/>
      <c r="BI37" s="531"/>
      <c r="BJ37" s="396" t="e">
        <f>$AS$35</f>
        <v>#DIV/0!</v>
      </c>
      <c r="BK37" s="242" t="str">
        <f t="shared" si="19"/>
        <v>C30</v>
      </c>
      <c r="BL37" s="303">
        <f t="shared" si="20"/>
        <v>0</v>
      </c>
      <c r="BM37" s="303">
        <f t="shared" si="20"/>
        <v>0</v>
      </c>
      <c r="BN37" s="303">
        <f t="shared" si="20"/>
        <v>0</v>
      </c>
      <c r="BO37" s="303">
        <f t="shared" si="21"/>
        <v>0</v>
      </c>
      <c r="BP37" s="303">
        <f t="shared" si="22"/>
        <v>0</v>
      </c>
      <c r="BQ37" s="303">
        <f t="shared" si="23"/>
        <v>0</v>
      </c>
      <c r="BR37" s="303">
        <f t="shared" si="24"/>
        <v>0</v>
      </c>
      <c r="BS37" s="303">
        <f t="shared" si="25"/>
        <v>0</v>
      </c>
      <c r="BT37" s="303">
        <f t="shared" si="26"/>
        <v>0</v>
      </c>
      <c r="BU37" s="303">
        <f t="shared" si="27"/>
        <v>0</v>
      </c>
      <c r="BV37" s="303">
        <f t="shared" si="28"/>
        <v>0</v>
      </c>
      <c r="BW37" s="303">
        <f t="shared" si="29"/>
        <v>0</v>
      </c>
      <c r="BX37" s="303">
        <f t="shared" si="30"/>
        <v>0</v>
      </c>
      <c r="BY37" s="303">
        <f t="shared" si="31"/>
        <v>0</v>
      </c>
      <c r="BZ37" s="303">
        <f t="shared" si="32"/>
        <v>0</v>
      </c>
      <c r="CB37" s="531"/>
      <c r="CC37" s="531"/>
      <c r="CD37" s="396" t="e">
        <f>$AS$35</f>
        <v>#DIV/0!</v>
      </c>
      <c r="CE37" s="242" t="str">
        <f>Tabla2[[#This Row],[Columna1]]</f>
        <v>C30</v>
      </c>
      <c r="CF37" s="303">
        <f>Tabla29[[#This Row],[Columna3]]/7</f>
        <v>0</v>
      </c>
      <c r="CG37" s="303">
        <f>Tabla29[[#This Row],[Columna4]]/4.2</f>
        <v>0</v>
      </c>
      <c r="CH37" s="303">
        <f>Tabla2[[#This Row],[Columna16]]</f>
        <v>0</v>
      </c>
      <c r="CI37" s="303" t="e">
        <f>(Tabla29[[#This Row],[Columna4]]*CI$5/$BZ$5)*$CH$4</f>
        <v>#DIV/0!</v>
      </c>
      <c r="CJ37" s="303" t="e">
        <f>(Tabla29[[#This Row],[Columna4]]*CJ$5/$BZ$5)*$CH$4</f>
        <v>#DIV/0!</v>
      </c>
      <c r="CK37" s="303" t="e">
        <f>(Tabla29[[#This Row],[Columna4]]*CK$5/$BZ$5)*$CH$4</f>
        <v>#DIV/0!</v>
      </c>
      <c r="CL37" s="303" t="e">
        <f>(Tabla29[[#This Row],[Columna4]]*CL$5/$BZ$5)*$CH$4</f>
        <v>#DIV/0!</v>
      </c>
      <c r="CM37" s="303" t="e">
        <f>(Tabla29[[#This Row],[Columna4]]*CM$5/$BZ$5)*$CH$4</f>
        <v>#DIV/0!</v>
      </c>
      <c r="CN37" s="303" t="e">
        <f>(Tabla29[[#This Row],[Columna4]]*CN$5/$BZ$5)*$CH$4</f>
        <v>#DIV/0!</v>
      </c>
      <c r="CO37" s="303" t="e">
        <f>(Tabla29[[#This Row],[Columna4]]*CO$5/$BZ$5)*$CH$4</f>
        <v>#DIV/0!</v>
      </c>
      <c r="CP37" s="303" t="e">
        <f>(Tabla29[[#This Row],[Columna4]]*CP$5/$BZ$5)*$CH$4</f>
        <v>#DIV/0!</v>
      </c>
      <c r="CQ37" s="303" t="e">
        <f>(Tabla29[[#This Row],[Columna4]]*CQ$5/$BZ$5)*$CH$4</f>
        <v>#DIV/0!</v>
      </c>
      <c r="CR37" s="303" t="e">
        <f>(Tabla29[[#This Row],[Columna4]]*CR$5/$BZ$5)*$CH$4</f>
        <v>#DIV/0!</v>
      </c>
      <c r="CS37" s="303" t="e">
        <f>(Tabla29[[#This Row],[Columna4]]*CS$5/$BZ$5)*$CH$4</f>
        <v>#DIV/0!</v>
      </c>
      <c r="CT37" s="303" t="e">
        <f>(Tabla29[[#This Row],[Columna4]]*CT$5/$BZ$5)*$CH$4</f>
        <v>#DIV/0!</v>
      </c>
      <c r="CV37" s="531"/>
      <c r="CW37" s="531"/>
      <c r="CX37" s="396" t="e">
        <f>$AS$35</f>
        <v>#DIV/0!</v>
      </c>
      <c r="CY37" s="242" t="str">
        <f>Tabla2[[#This Row],[Columna1]]</f>
        <v>C30</v>
      </c>
      <c r="CZ37" s="303" t="e">
        <f>Tabla292[[#This Row],[Columna3]]/7</f>
        <v>#DIV/0!</v>
      </c>
      <c r="DA37" s="303" t="e">
        <f>Tabla292[[#This Row],[Columna4]]/4.2</f>
        <v>#DIV/0!</v>
      </c>
      <c r="DB37" s="303" t="e">
        <f>Tabla29[[#This Row],[Columna16]]</f>
        <v>#DIV/0!</v>
      </c>
      <c r="DC37" s="303" t="e">
        <f>(Tabla292[[#This Row],[Columna4]]*DC$5/$CT$5)*$DB$4</f>
        <v>#DIV/0!</v>
      </c>
      <c r="DD37" s="303" t="e">
        <f>(Tabla292[[#This Row],[Columna4]]*DD$5/$CT$5)*$DB$4</f>
        <v>#DIV/0!</v>
      </c>
      <c r="DE37" s="303" t="e">
        <f>(Tabla292[[#This Row],[Columna4]]*DE$5/$CT$5)*$DB$4</f>
        <v>#DIV/0!</v>
      </c>
      <c r="DF37" s="303" t="e">
        <f>(Tabla292[[#This Row],[Columna4]]*DF$5/$CT$5)*$DB$4</f>
        <v>#DIV/0!</v>
      </c>
      <c r="DG37" s="303" t="e">
        <f>(Tabla292[[#This Row],[Columna4]]*DG$5/$CT$5)*$DB$4</f>
        <v>#DIV/0!</v>
      </c>
      <c r="DH37" s="303" t="e">
        <f>(Tabla292[[#This Row],[Columna4]]*DH$5/$CT$5)*$DB$4</f>
        <v>#DIV/0!</v>
      </c>
      <c r="DI37" s="303" t="e">
        <f>(Tabla292[[#This Row],[Columna4]]*DI$5/$CT$5)*$DB$4</f>
        <v>#DIV/0!</v>
      </c>
      <c r="DJ37" s="303" t="e">
        <f>(Tabla292[[#This Row],[Columna4]]*DJ$5/$CT$5)*$DB$4</f>
        <v>#DIV/0!</v>
      </c>
      <c r="DK37" s="303" t="e">
        <f>(Tabla292[[#This Row],[Columna4]]*DK$5/$CT$5)*$DB$4</f>
        <v>#DIV/0!</v>
      </c>
      <c r="DL37" s="303" t="e">
        <f>(Tabla292[[#This Row],[Columna4]]*DL$5/$CT$5)*$DB$4</f>
        <v>#DIV/0!</v>
      </c>
      <c r="DM37" s="303" t="e">
        <f>(Tabla292[[#This Row],[Columna4]]*DM$5/$CT$5)*$DB$4</f>
        <v>#DIV/0!</v>
      </c>
      <c r="DN37" s="303" t="e">
        <f>(Tabla292[[#This Row],[Columna4]]*DN$5/$CT$5)*$DB$4</f>
        <v>#DIV/0!</v>
      </c>
      <c r="DP37" s="531"/>
      <c r="DQ37" s="531"/>
      <c r="DR37" s="396" t="e">
        <f>$AS$35</f>
        <v>#DIV/0!</v>
      </c>
      <c r="DS37" s="242" t="str">
        <f>Tabla2[[#This Row],[Columna1]]</f>
        <v>C30</v>
      </c>
      <c r="DT37" s="303" t="e">
        <f>Tabla2926[[#This Row],[Columna3]]/7</f>
        <v>#DIV/0!</v>
      </c>
      <c r="DU37" s="303" t="e">
        <f>Tabla2926[[#This Row],[Columna4]]/4.2</f>
        <v>#DIV/0!</v>
      </c>
      <c r="DV37" s="303" t="e">
        <f>Tabla292[[#This Row],[Columna16]]</f>
        <v>#DIV/0!</v>
      </c>
      <c r="DW37" s="303" t="e">
        <f>(Tabla2926[[#This Row],[Columna4]]*DW$5/$DN$5)*$DV$4</f>
        <v>#DIV/0!</v>
      </c>
      <c r="DX37" s="303" t="e">
        <f>(Tabla2926[[#This Row],[Columna4]]*DX$5/$DN$5)*$DV$4</f>
        <v>#DIV/0!</v>
      </c>
      <c r="DY37" s="303" t="e">
        <f>(Tabla2926[[#This Row],[Columna4]]*DY$5/$DN$5)*$DV$4</f>
        <v>#DIV/0!</v>
      </c>
      <c r="DZ37" s="303" t="e">
        <f>(Tabla2926[[#This Row],[Columna4]]*DZ$5/$DN$5)*$DV$4</f>
        <v>#DIV/0!</v>
      </c>
      <c r="EA37" s="303" t="e">
        <f>(Tabla2926[[#This Row],[Columna4]]*EA$5/$DN$5)*$DV$4</f>
        <v>#DIV/0!</v>
      </c>
      <c r="EB37" s="303" t="e">
        <f>(Tabla2926[[#This Row],[Columna4]]*EB$5/$DN$5)*$DV$4</f>
        <v>#DIV/0!</v>
      </c>
      <c r="EC37" s="303" t="e">
        <f>(Tabla2926[[#This Row],[Columna4]]*EC$5/$DN$5)*$DV$4</f>
        <v>#DIV/0!</v>
      </c>
      <c r="ED37" s="303" t="e">
        <f>(Tabla2926[[#This Row],[Columna4]]*ED$5/$DN$5)*$DV$4</f>
        <v>#DIV/0!</v>
      </c>
      <c r="EE37" s="303" t="e">
        <f>(Tabla2926[[#This Row],[Columna4]]*EE$5/$DN$5)*$DV$4</f>
        <v>#DIV/0!</v>
      </c>
      <c r="EF37" s="303" t="e">
        <f>(Tabla2926[[#This Row],[Columna4]]*EF$5/$DN$5)*$DV$4</f>
        <v>#DIV/0!</v>
      </c>
      <c r="EG37" s="303" t="e">
        <f>(Tabla2926[[#This Row],[Columna4]]*EG$5/$DN$5)*$DV$4</f>
        <v>#DIV/0!</v>
      </c>
      <c r="EH37" s="303" t="e">
        <f>(Tabla2926[[#This Row],[Columna4]]*EH$5/$DN$5)*$DV$4</f>
        <v>#DIV/0!</v>
      </c>
      <c r="EJ37" s="531"/>
      <c r="EK37" s="531"/>
      <c r="EL37" s="396" t="e">
        <f>$AS$35</f>
        <v>#DIV/0!</v>
      </c>
      <c r="EM37" s="242" t="str">
        <f>Tabla2[[#This Row],[Columna1]]</f>
        <v>C30</v>
      </c>
      <c r="EN37" s="303" t="e">
        <f>Tabla29268[[#This Row],[Columna3]]/7</f>
        <v>#DIV/0!</v>
      </c>
      <c r="EO37" s="303" t="e">
        <f>Tabla29268[[#This Row],[Columna4]]/4.2</f>
        <v>#DIV/0!</v>
      </c>
      <c r="EP37" s="303" t="e">
        <f>Tabla2926[[#This Row],[Columna16]]</f>
        <v>#DIV/0!</v>
      </c>
      <c r="EQ37" s="303" t="e">
        <f>(Tabla29268[[#This Row],[Columna4]]*EQ$5/$EH$5)*$EP$4</f>
        <v>#DIV/0!</v>
      </c>
      <c r="ER37" s="303" t="e">
        <f>(Tabla29268[[#This Row],[Columna4]]*ER$5/$EH$5)*$EP$4</f>
        <v>#DIV/0!</v>
      </c>
      <c r="ES37" s="303" t="e">
        <f>(Tabla29268[[#This Row],[Columna4]]*ES$5/$EH$5)*$EP$4</f>
        <v>#DIV/0!</v>
      </c>
      <c r="ET37" s="303" t="e">
        <f>(Tabla29268[[#This Row],[Columna4]]*ET$5/$EH$5)*$EP$4</f>
        <v>#DIV/0!</v>
      </c>
      <c r="EU37" s="303" t="e">
        <f>(Tabla29268[[#This Row],[Columna4]]*EU$5/$EH$5)*$EP$4</f>
        <v>#DIV/0!</v>
      </c>
      <c r="EV37" s="303" t="e">
        <f>(Tabla29268[[#This Row],[Columna4]]*EV$5/$EH$5)*$EP$4</f>
        <v>#DIV/0!</v>
      </c>
      <c r="EW37" s="303" t="e">
        <f>(Tabla29268[[#This Row],[Columna4]]*EW$5/$EH$5)*$EP$4</f>
        <v>#DIV/0!</v>
      </c>
      <c r="EX37" s="303" t="e">
        <f>(Tabla29268[[#This Row],[Columna4]]*EX$5/$EH$5)*$EP$4</f>
        <v>#DIV/0!</v>
      </c>
      <c r="EY37" s="303" t="e">
        <f>(Tabla29268[[#This Row],[Columna4]]*EY$5/$EH$5)*$EP$4</f>
        <v>#DIV/0!</v>
      </c>
      <c r="EZ37" s="303" t="e">
        <f>(Tabla29268[[#This Row],[Columna4]]*EZ$5/$EH$5)*$EP$4</f>
        <v>#DIV/0!</v>
      </c>
      <c r="FA37" s="303" t="e">
        <f>(Tabla29268[[#This Row],[Columna4]]*FA$5/$EH$5)*$EP$4</f>
        <v>#DIV/0!</v>
      </c>
      <c r="FB37" s="303" t="e">
        <f>(Tabla29268[[#This Row],[Columna4]]*FB$5/$EH$5)*$EP$4</f>
        <v>#DIV/0!</v>
      </c>
      <c r="FD37" s="397" t="s">
        <v>33</v>
      </c>
      <c r="FE37" s="399" t="s">
        <v>30</v>
      </c>
      <c r="FF37" s="400">
        <f t="shared" si="212"/>
        <v>0</v>
      </c>
      <c r="FG37" s="400">
        <f t="shared" si="212"/>
        <v>0</v>
      </c>
      <c r="FH37" s="400">
        <f t="shared" si="212"/>
        <v>0</v>
      </c>
      <c r="FI37" s="400">
        <f t="shared" si="212"/>
        <v>0</v>
      </c>
      <c r="FJ37" s="400">
        <f t="shared" si="212"/>
        <v>0</v>
      </c>
      <c r="FK37" s="400">
        <f t="shared" si="212"/>
        <v>0</v>
      </c>
      <c r="FL37" s="400">
        <f t="shared" si="212"/>
        <v>0</v>
      </c>
      <c r="FM37" s="400">
        <f t="shared" si="212"/>
        <v>0</v>
      </c>
      <c r="FN37" s="400">
        <f t="shared" si="212"/>
        <v>0</v>
      </c>
      <c r="FO37" s="400">
        <f t="shared" si="212"/>
        <v>0</v>
      </c>
      <c r="FP37" s="400">
        <f t="shared" si="212"/>
        <v>0</v>
      </c>
      <c r="FQ37" s="400">
        <f t="shared" si="212"/>
        <v>0</v>
      </c>
      <c r="FR37" s="363">
        <f t="shared" si="197"/>
        <v>0</v>
      </c>
      <c r="FS37" s="260" t="e">
        <f t="shared" si="198"/>
        <v>#DIV/0!</v>
      </c>
      <c r="FV37" s="307" t="s">
        <v>445</v>
      </c>
      <c r="FW37" s="308" t="e">
        <f>$BB$22*(1+GH32+GH33)</f>
        <v>#DIV/0!</v>
      </c>
      <c r="FX37" s="308" t="e">
        <f>$BB$23*(1+GH32+GH33)</f>
        <v>#DIV/0!</v>
      </c>
      <c r="FY37" s="308" t="e">
        <f>$BB$24*(1+GH32+GH33)</f>
        <v>#DIV/0!</v>
      </c>
      <c r="FZ37" s="308" t="e">
        <f>$BB$25*(1+GH32+GH33)</f>
        <v>#DIV/0!</v>
      </c>
      <c r="GA37" s="308" t="e">
        <f>$BB$26*(1+GH32+GH33)</f>
        <v>#DIV/0!</v>
      </c>
      <c r="GB37" s="308" t="e">
        <f>$BB$27*(1+GH32+GH33)</f>
        <v>#DIV/0!</v>
      </c>
      <c r="GC37" s="308" t="e">
        <f>$BB$28*(1+GH32+GH33)</f>
        <v>#DIV/0!</v>
      </c>
      <c r="GD37" s="308" t="e">
        <f>$BB$29*(1+GH32+GH33)</f>
        <v>#DIV/0!</v>
      </c>
      <c r="GE37" s="308" t="e">
        <f>$BB$30*(1+GH32+GH33)</f>
        <v>#DIV/0!</v>
      </c>
      <c r="GF37" s="308" t="e">
        <f>$BB$31*(1+GH32+GH33)</f>
        <v>#DIV/0!</v>
      </c>
      <c r="GG37" s="308" t="e">
        <f>$BB$32*(1+GH32+GH33)</f>
        <v>#DIV/0!</v>
      </c>
      <c r="GH37" s="308" t="e">
        <f>$BB$33</f>
        <v>#DIV/0!</v>
      </c>
      <c r="GI37" s="309" t="e">
        <f>SUM(FW37:GH37)</f>
        <v>#DIV/0!</v>
      </c>
      <c r="GJ37" s="262" t="e">
        <f>GI37/$GI$6</f>
        <v>#DIV/0!</v>
      </c>
      <c r="GL37" s="250"/>
      <c r="GM37" s="310" t="s">
        <v>478</v>
      </c>
      <c r="GN37" s="311" t="e">
        <f t="shared" ref="GN37:GZ37" si="217">SUM(GN38)</f>
        <v>#DIV/0!</v>
      </c>
      <c r="GO37" s="311" t="e">
        <f t="shared" si="217"/>
        <v>#DIV/0!</v>
      </c>
      <c r="GP37" s="311" t="e">
        <f t="shared" si="217"/>
        <v>#DIV/0!</v>
      </c>
      <c r="GQ37" s="311" t="e">
        <f t="shared" si="217"/>
        <v>#DIV/0!</v>
      </c>
      <c r="GR37" s="311" t="e">
        <f t="shared" si="217"/>
        <v>#DIV/0!</v>
      </c>
      <c r="GS37" s="311" t="e">
        <f t="shared" si="217"/>
        <v>#DIV/0!</v>
      </c>
      <c r="GT37" s="311" t="e">
        <f t="shared" si="217"/>
        <v>#DIV/0!</v>
      </c>
      <c r="GU37" s="311" t="e">
        <f t="shared" si="217"/>
        <v>#DIV/0!</v>
      </c>
      <c r="GV37" s="311" t="e">
        <f t="shared" si="217"/>
        <v>#DIV/0!</v>
      </c>
      <c r="GW37" s="311" t="e">
        <f t="shared" si="217"/>
        <v>#DIV/0!</v>
      </c>
      <c r="GX37" s="311" t="e">
        <f t="shared" si="217"/>
        <v>#DIV/0!</v>
      </c>
      <c r="GY37" s="311" t="e">
        <f t="shared" si="217"/>
        <v>#DIV/0!</v>
      </c>
      <c r="GZ37" s="311" t="e">
        <f t="shared" si="217"/>
        <v>#DIV/0!</v>
      </c>
      <c r="HA37" s="312" t="e">
        <f t="shared" si="55"/>
        <v>#DIV/0!</v>
      </c>
      <c r="HD37" s="65" t="s">
        <v>825</v>
      </c>
      <c r="HE37" s="66">
        <v>0</v>
      </c>
      <c r="HF37" s="67">
        <f t="shared" si="77"/>
        <v>0</v>
      </c>
      <c r="HG37" s="68">
        <f t="shared" si="78"/>
        <v>0</v>
      </c>
      <c r="HH37" s="69">
        <v>1</v>
      </c>
      <c r="HI37" s="367">
        <v>0</v>
      </c>
      <c r="HJ37" s="140"/>
      <c r="HM37" s="408" t="s">
        <v>597</v>
      </c>
      <c r="HN37" s="409" t="e">
        <f>HN35+HN33+HN31+HN27+HN19</f>
        <v>#DIV/0!</v>
      </c>
      <c r="HO37" s="354" t="e">
        <f>HN37/HN$9</f>
        <v>#DIV/0!</v>
      </c>
      <c r="HP37" s="409" t="e">
        <f>HP35+HP33+HP31+HP27+HP19</f>
        <v>#DIV/0!</v>
      </c>
      <c r="HQ37" s="354" t="e">
        <f>HP37/HP$9</f>
        <v>#DIV/0!</v>
      </c>
      <c r="HR37" s="409" t="e">
        <f>HR35+HR33+HR31+HR27+HR19</f>
        <v>#DIV/0!</v>
      </c>
      <c r="HS37" s="354" t="e">
        <f>HR37/HR$9</f>
        <v>#DIV/0!</v>
      </c>
      <c r="HT37" s="409" t="e">
        <f>HT35+HT33+HT31+HT27+HT19</f>
        <v>#DIV/0!</v>
      </c>
      <c r="HU37" s="354" t="e">
        <f>HT37/HT$9</f>
        <v>#DIV/0!</v>
      </c>
      <c r="HV37" s="409" t="e">
        <f>HV35+HV33+HV31+HV27+HV19</f>
        <v>#DIV/0!</v>
      </c>
      <c r="HW37" s="354" t="e">
        <f>HV37/HV$9</f>
        <v>#DIV/0!</v>
      </c>
      <c r="HX37" s="409" t="e">
        <f>HX35+HX33+HX31+HX27+HX19</f>
        <v>#DIV/0!</v>
      </c>
      <c r="HY37" s="354" t="e">
        <f>HX37/HX$9</f>
        <v>#DIV/0!</v>
      </c>
      <c r="HZ37" s="409" t="e">
        <f>HZ35+HZ33+HZ31+HZ27+HZ19</f>
        <v>#DIV/0!</v>
      </c>
      <c r="IA37" s="354" t="e">
        <f>HZ37/HZ$9</f>
        <v>#DIV/0!</v>
      </c>
      <c r="IB37" s="409" t="e">
        <f>IB35+IB33+IB31+IB27+IB19</f>
        <v>#DIV/0!</v>
      </c>
      <c r="IC37" s="354" t="e">
        <f>IB37/IB$9</f>
        <v>#DIV/0!</v>
      </c>
      <c r="ID37" s="409" t="e">
        <f>ID35+ID33+ID31+ID27+ID19</f>
        <v>#DIV/0!</v>
      </c>
      <c r="IE37" s="354" t="e">
        <f>ID37/ID$9</f>
        <v>#DIV/0!</v>
      </c>
      <c r="IF37" s="409" t="e">
        <f>IF35+IF33+IF31+IF27+IF19</f>
        <v>#DIV/0!</v>
      </c>
      <c r="IG37" s="354" t="e">
        <f>IF37/IF$9</f>
        <v>#DIV/0!</v>
      </c>
      <c r="IH37" s="409" t="e">
        <f>IH35+IH33+IH31+IH27+IH19</f>
        <v>#DIV/0!</v>
      </c>
      <c r="II37" s="354" t="e">
        <f>IH37/IH$9</f>
        <v>#DIV/0!</v>
      </c>
      <c r="IJ37" s="409" t="e">
        <f>IJ35+IJ33+IJ31+IJ27+IJ19</f>
        <v>#DIV/0!</v>
      </c>
      <c r="IK37" s="354" t="e">
        <f>IJ37/IJ$9</f>
        <v>#DIV/0!</v>
      </c>
      <c r="IL37" s="333" t="e">
        <f>IL35+IL33+IL31+IL27+IL19</f>
        <v>#DIV/0!</v>
      </c>
      <c r="IM37" s="354" t="e">
        <f>IL37/IL$9</f>
        <v>#DIV/0!</v>
      </c>
    </row>
    <row r="38" spans="2:247" ht="14.4" customHeight="1" x14ac:dyDescent="0.3">
      <c r="C38" s="44" t="s">
        <v>618</v>
      </c>
      <c r="D38" s="15">
        <f>$D$37*B20</f>
        <v>0</v>
      </c>
      <c r="E38" s="15">
        <f t="shared" si="215"/>
        <v>0</v>
      </c>
      <c r="F38" s="15">
        <f t="shared" si="216"/>
        <v>0</v>
      </c>
      <c r="G38" s="112"/>
      <c r="AA38" s="406" t="s">
        <v>826</v>
      </c>
      <c r="AM38" s="394">
        <f t="shared" si="5"/>
        <v>0</v>
      </c>
      <c r="AN38" s="394">
        <f t="shared" si="6"/>
        <v>0</v>
      </c>
      <c r="AO38" s="394">
        <f t="shared" si="7"/>
        <v>0</v>
      </c>
      <c r="AP38" s="394">
        <f t="shared" si="8"/>
        <v>0</v>
      </c>
      <c r="AQ38" s="395" t="s">
        <v>827</v>
      </c>
      <c r="AR38" s="297">
        <f t="shared" si="9"/>
        <v>0</v>
      </c>
      <c r="AS38" s="396" t="e">
        <f t="shared" si="2"/>
        <v>#DIV/0!</v>
      </c>
      <c r="AT38" s="531"/>
      <c r="AU38" s="531"/>
      <c r="AV38" s="299">
        <v>0</v>
      </c>
      <c r="AW38" s="300">
        <v>0</v>
      </c>
      <c r="AX38" s="301"/>
      <c r="BH38" s="531"/>
      <c r="BI38" s="531"/>
      <c r="BJ38" s="396" t="e">
        <f>$AS$36</f>
        <v>#DIV/0!</v>
      </c>
      <c r="BK38" s="242" t="str">
        <f t="shared" si="19"/>
        <v>C31</v>
      </c>
      <c r="BL38" s="303">
        <f t="shared" si="20"/>
        <v>0</v>
      </c>
      <c r="BM38" s="303">
        <f t="shared" si="20"/>
        <v>0</v>
      </c>
      <c r="BN38" s="303">
        <f t="shared" si="20"/>
        <v>0</v>
      </c>
      <c r="BO38" s="303">
        <f t="shared" si="21"/>
        <v>0</v>
      </c>
      <c r="BP38" s="303">
        <f t="shared" si="22"/>
        <v>0</v>
      </c>
      <c r="BQ38" s="303">
        <f t="shared" si="23"/>
        <v>0</v>
      </c>
      <c r="BR38" s="303">
        <f t="shared" si="24"/>
        <v>0</v>
      </c>
      <c r="BS38" s="303">
        <f t="shared" si="25"/>
        <v>0</v>
      </c>
      <c r="BT38" s="303">
        <f t="shared" si="26"/>
        <v>0</v>
      </c>
      <c r="BU38" s="303">
        <f t="shared" si="27"/>
        <v>0</v>
      </c>
      <c r="BV38" s="303">
        <f t="shared" si="28"/>
        <v>0</v>
      </c>
      <c r="BW38" s="303">
        <f t="shared" si="29"/>
        <v>0</v>
      </c>
      <c r="BX38" s="303">
        <f t="shared" si="30"/>
        <v>0</v>
      </c>
      <c r="BY38" s="303">
        <f t="shared" si="31"/>
        <v>0</v>
      </c>
      <c r="BZ38" s="303">
        <f t="shared" si="32"/>
        <v>0</v>
      </c>
      <c r="CB38" s="531"/>
      <c r="CC38" s="531"/>
      <c r="CD38" s="396" t="e">
        <f>$AS$36</f>
        <v>#DIV/0!</v>
      </c>
      <c r="CE38" s="242" t="str">
        <f>Tabla2[[#This Row],[Columna1]]</f>
        <v>C31</v>
      </c>
      <c r="CF38" s="303">
        <f>Tabla29[[#This Row],[Columna3]]/7</f>
        <v>0</v>
      </c>
      <c r="CG38" s="303">
        <f>Tabla29[[#This Row],[Columna4]]/4.2</f>
        <v>0</v>
      </c>
      <c r="CH38" s="303">
        <f>Tabla2[[#This Row],[Columna16]]</f>
        <v>0</v>
      </c>
      <c r="CI38" s="303" t="e">
        <f>(Tabla29[[#This Row],[Columna4]]*CI$5/$BZ$5)*$CH$4</f>
        <v>#DIV/0!</v>
      </c>
      <c r="CJ38" s="303" t="e">
        <f>(Tabla29[[#This Row],[Columna4]]*CJ$5/$BZ$5)*$CH$4</f>
        <v>#DIV/0!</v>
      </c>
      <c r="CK38" s="303" t="e">
        <f>(Tabla29[[#This Row],[Columna4]]*CK$5/$BZ$5)*$CH$4</f>
        <v>#DIV/0!</v>
      </c>
      <c r="CL38" s="303" t="e">
        <f>(Tabla29[[#This Row],[Columna4]]*CL$5/$BZ$5)*$CH$4</f>
        <v>#DIV/0!</v>
      </c>
      <c r="CM38" s="303" t="e">
        <f>(Tabla29[[#This Row],[Columna4]]*CM$5/$BZ$5)*$CH$4</f>
        <v>#DIV/0!</v>
      </c>
      <c r="CN38" s="303" t="e">
        <f>(Tabla29[[#This Row],[Columna4]]*CN$5/$BZ$5)*$CH$4</f>
        <v>#DIV/0!</v>
      </c>
      <c r="CO38" s="303" t="e">
        <f>(Tabla29[[#This Row],[Columna4]]*CO$5/$BZ$5)*$CH$4</f>
        <v>#DIV/0!</v>
      </c>
      <c r="CP38" s="303" t="e">
        <f>(Tabla29[[#This Row],[Columna4]]*CP$5/$BZ$5)*$CH$4</f>
        <v>#DIV/0!</v>
      </c>
      <c r="CQ38" s="303" t="e">
        <f>(Tabla29[[#This Row],[Columna4]]*CQ$5/$BZ$5)*$CH$4</f>
        <v>#DIV/0!</v>
      </c>
      <c r="CR38" s="303" t="e">
        <f>(Tabla29[[#This Row],[Columna4]]*CR$5/$BZ$5)*$CH$4</f>
        <v>#DIV/0!</v>
      </c>
      <c r="CS38" s="303" t="e">
        <f>(Tabla29[[#This Row],[Columna4]]*CS$5/$BZ$5)*$CH$4</f>
        <v>#DIV/0!</v>
      </c>
      <c r="CT38" s="303" t="e">
        <f>(Tabla29[[#This Row],[Columna4]]*CT$5/$BZ$5)*$CH$4</f>
        <v>#DIV/0!</v>
      </c>
      <c r="CV38" s="531"/>
      <c r="CW38" s="531"/>
      <c r="CX38" s="396" t="e">
        <f>$AS$36</f>
        <v>#DIV/0!</v>
      </c>
      <c r="CY38" s="242" t="str">
        <f>Tabla2[[#This Row],[Columna1]]</f>
        <v>C31</v>
      </c>
      <c r="CZ38" s="303" t="e">
        <f>Tabla292[[#This Row],[Columna3]]/7</f>
        <v>#DIV/0!</v>
      </c>
      <c r="DA38" s="303" t="e">
        <f>Tabla292[[#This Row],[Columna4]]/4.2</f>
        <v>#DIV/0!</v>
      </c>
      <c r="DB38" s="303" t="e">
        <f>Tabla29[[#This Row],[Columna16]]</f>
        <v>#DIV/0!</v>
      </c>
      <c r="DC38" s="303" t="e">
        <f>(Tabla292[[#This Row],[Columna4]]*DC$5/$CT$5)*$DB$4</f>
        <v>#DIV/0!</v>
      </c>
      <c r="DD38" s="303" t="e">
        <f>(Tabla292[[#This Row],[Columna4]]*DD$5/$CT$5)*$DB$4</f>
        <v>#DIV/0!</v>
      </c>
      <c r="DE38" s="303" t="e">
        <f>(Tabla292[[#This Row],[Columna4]]*DE$5/$CT$5)*$DB$4</f>
        <v>#DIV/0!</v>
      </c>
      <c r="DF38" s="303" t="e">
        <f>(Tabla292[[#This Row],[Columna4]]*DF$5/$CT$5)*$DB$4</f>
        <v>#DIV/0!</v>
      </c>
      <c r="DG38" s="303" t="e">
        <f>(Tabla292[[#This Row],[Columna4]]*DG$5/$CT$5)*$DB$4</f>
        <v>#DIV/0!</v>
      </c>
      <c r="DH38" s="303" t="e">
        <f>(Tabla292[[#This Row],[Columna4]]*DH$5/$CT$5)*$DB$4</f>
        <v>#DIV/0!</v>
      </c>
      <c r="DI38" s="303" t="e">
        <f>(Tabla292[[#This Row],[Columna4]]*DI$5/$CT$5)*$DB$4</f>
        <v>#DIV/0!</v>
      </c>
      <c r="DJ38" s="303" t="e">
        <f>(Tabla292[[#This Row],[Columna4]]*DJ$5/$CT$5)*$DB$4</f>
        <v>#DIV/0!</v>
      </c>
      <c r="DK38" s="303" t="e">
        <f>(Tabla292[[#This Row],[Columna4]]*DK$5/$CT$5)*$DB$4</f>
        <v>#DIV/0!</v>
      </c>
      <c r="DL38" s="303" t="e">
        <f>(Tabla292[[#This Row],[Columna4]]*DL$5/$CT$5)*$DB$4</f>
        <v>#DIV/0!</v>
      </c>
      <c r="DM38" s="303" t="e">
        <f>(Tabla292[[#This Row],[Columna4]]*DM$5/$CT$5)*$DB$4</f>
        <v>#DIV/0!</v>
      </c>
      <c r="DN38" s="303" t="e">
        <f>(Tabla292[[#This Row],[Columna4]]*DN$5/$CT$5)*$DB$4</f>
        <v>#DIV/0!</v>
      </c>
      <c r="DP38" s="531"/>
      <c r="DQ38" s="531"/>
      <c r="DR38" s="396" t="e">
        <f>$AS$36</f>
        <v>#DIV/0!</v>
      </c>
      <c r="DS38" s="242" t="str">
        <f>Tabla2[[#This Row],[Columna1]]</f>
        <v>C31</v>
      </c>
      <c r="DT38" s="303" t="e">
        <f>Tabla2926[[#This Row],[Columna3]]/7</f>
        <v>#DIV/0!</v>
      </c>
      <c r="DU38" s="303" t="e">
        <f>Tabla2926[[#This Row],[Columna4]]/4.2</f>
        <v>#DIV/0!</v>
      </c>
      <c r="DV38" s="303" t="e">
        <f>Tabla292[[#This Row],[Columna16]]</f>
        <v>#DIV/0!</v>
      </c>
      <c r="DW38" s="303" t="e">
        <f>(Tabla2926[[#This Row],[Columna4]]*DW$5/$DN$5)*$DV$4</f>
        <v>#DIV/0!</v>
      </c>
      <c r="DX38" s="303" t="e">
        <f>(Tabla2926[[#This Row],[Columna4]]*DX$5/$DN$5)*$DV$4</f>
        <v>#DIV/0!</v>
      </c>
      <c r="DY38" s="303" t="e">
        <f>(Tabla2926[[#This Row],[Columna4]]*DY$5/$DN$5)*$DV$4</f>
        <v>#DIV/0!</v>
      </c>
      <c r="DZ38" s="303" t="e">
        <f>(Tabla2926[[#This Row],[Columna4]]*DZ$5/$DN$5)*$DV$4</f>
        <v>#DIV/0!</v>
      </c>
      <c r="EA38" s="303" t="e">
        <f>(Tabla2926[[#This Row],[Columna4]]*EA$5/$DN$5)*$DV$4</f>
        <v>#DIV/0!</v>
      </c>
      <c r="EB38" s="303" t="e">
        <f>(Tabla2926[[#This Row],[Columna4]]*EB$5/$DN$5)*$DV$4</f>
        <v>#DIV/0!</v>
      </c>
      <c r="EC38" s="303" t="e">
        <f>(Tabla2926[[#This Row],[Columna4]]*EC$5/$DN$5)*$DV$4</f>
        <v>#DIV/0!</v>
      </c>
      <c r="ED38" s="303" t="e">
        <f>(Tabla2926[[#This Row],[Columna4]]*ED$5/$DN$5)*$DV$4</f>
        <v>#DIV/0!</v>
      </c>
      <c r="EE38" s="303" t="e">
        <f>(Tabla2926[[#This Row],[Columna4]]*EE$5/$DN$5)*$DV$4</f>
        <v>#DIV/0!</v>
      </c>
      <c r="EF38" s="303" t="e">
        <f>(Tabla2926[[#This Row],[Columna4]]*EF$5/$DN$5)*$DV$4</f>
        <v>#DIV/0!</v>
      </c>
      <c r="EG38" s="303" t="e">
        <f>(Tabla2926[[#This Row],[Columna4]]*EG$5/$DN$5)*$DV$4</f>
        <v>#DIV/0!</v>
      </c>
      <c r="EH38" s="303" t="e">
        <f>(Tabla2926[[#This Row],[Columna4]]*EH$5/$DN$5)*$DV$4</f>
        <v>#DIV/0!</v>
      </c>
      <c r="EJ38" s="531"/>
      <c r="EK38" s="531"/>
      <c r="EL38" s="396" t="e">
        <f>$AS$36</f>
        <v>#DIV/0!</v>
      </c>
      <c r="EM38" s="242" t="str">
        <f>Tabla2[[#This Row],[Columna1]]</f>
        <v>C31</v>
      </c>
      <c r="EN38" s="303" t="e">
        <f>Tabla29268[[#This Row],[Columna3]]/7</f>
        <v>#DIV/0!</v>
      </c>
      <c r="EO38" s="303" t="e">
        <f>Tabla29268[[#This Row],[Columna4]]/4.2</f>
        <v>#DIV/0!</v>
      </c>
      <c r="EP38" s="303" t="e">
        <f>Tabla2926[[#This Row],[Columna16]]</f>
        <v>#DIV/0!</v>
      </c>
      <c r="EQ38" s="303" t="e">
        <f>(Tabla29268[[#This Row],[Columna4]]*EQ$5/$EH$5)*$EP$4</f>
        <v>#DIV/0!</v>
      </c>
      <c r="ER38" s="303" t="e">
        <f>(Tabla29268[[#This Row],[Columna4]]*ER$5/$EH$5)*$EP$4</f>
        <v>#DIV/0!</v>
      </c>
      <c r="ES38" s="303" t="e">
        <f>(Tabla29268[[#This Row],[Columna4]]*ES$5/$EH$5)*$EP$4</f>
        <v>#DIV/0!</v>
      </c>
      <c r="ET38" s="303" t="e">
        <f>(Tabla29268[[#This Row],[Columna4]]*ET$5/$EH$5)*$EP$4</f>
        <v>#DIV/0!</v>
      </c>
      <c r="EU38" s="303" t="e">
        <f>(Tabla29268[[#This Row],[Columna4]]*EU$5/$EH$5)*$EP$4</f>
        <v>#DIV/0!</v>
      </c>
      <c r="EV38" s="303" t="e">
        <f>(Tabla29268[[#This Row],[Columna4]]*EV$5/$EH$5)*$EP$4</f>
        <v>#DIV/0!</v>
      </c>
      <c r="EW38" s="303" t="e">
        <f>(Tabla29268[[#This Row],[Columna4]]*EW$5/$EH$5)*$EP$4</f>
        <v>#DIV/0!</v>
      </c>
      <c r="EX38" s="303" t="e">
        <f>(Tabla29268[[#This Row],[Columna4]]*EX$5/$EH$5)*$EP$4</f>
        <v>#DIV/0!</v>
      </c>
      <c r="EY38" s="303" t="e">
        <f>(Tabla29268[[#This Row],[Columna4]]*EY$5/$EH$5)*$EP$4</f>
        <v>#DIV/0!</v>
      </c>
      <c r="EZ38" s="303" t="e">
        <f>(Tabla29268[[#This Row],[Columna4]]*EZ$5/$EH$5)*$EP$4</f>
        <v>#DIV/0!</v>
      </c>
      <c r="FA38" s="303" t="e">
        <f>(Tabla29268[[#This Row],[Columna4]]*FA$5/$EH$5)*$EP$4</f>
        <v>#DIV/0!</v>
      </c>
      <c r="FB38" s="303" t="e">
        <f>(Tabla29268[[#This Row],[Columna4]]*FB$5/$EH$5)*$EP$4</f>
        <v>#DIV/0!</v>
      </c>
      <c r="FD38" s="397" t="s">
        <v>35</v>
      </c>
      <c r="FE38" s="399" t="s">
        <v>32</v>
      </c>
      <c r="FF38" s="400">
        <f t="shared" si="212"/>
        <v>0</v>
      </c>
      <c r="FG38" s="400">
        <f t="shared" si="212"/>
        <v>0</v>
      </c>
      <c r="FH38" s="400">
        <f t="shared" si="212"/>
        <v>0</v>
      </c>
      <c r="FI38" s="400">
        <f t="shared" si="212"/>
        <v>0</v>
      </c>
      <c r="FJ38" s="400">
        <f t="shared" si="212"/>
        <v>0</v>
      </c>
      <c r="FK38" s="400">
        <f t="shared" si="212"/>
        <v>0</v>
      </c>
      <c r="FL38" s="400">
        <f t="shared" si="212"/>
        <v>0</v>
      </c>
      <c r="FM38" s="400">
        <f t="shared" si="212"/>
        <v>0</v>
      </c>
      <c r="FN38" s="400">
        <f t="shared" si="212"/>
        <v>0</v>
      </c>
      <c r="FO38" s="400">
        <f t="shared" si="212"/>
        <v>0</v>
      </c>
      <c r="FP38" s="400">
        <f t="shared" si="212"/>
        <v>0</v>
      </c>
      <c r="FQ38" s="400">
        <f t="shared" si="212"/>
        <v>0</v>
      </c>
      <c r="FR38" s="363">
        <f t="shared" si="197"/>
        <v>0</v>
      </c>
      <c r="FS38" s="260" t="e">
        <f t="shared" si="198"/>
        <v>#DIV/0!</v>
      </c>
      <c r="FV38" s="324" t="s">
        <v>16</v>
      </c>
      <c r="FW38" s="325" t="e">
        <f>FW37*$FS$7</f>
        <v>#DIV/0!</v>
      </c>
      <c r="FX38" s="325" t="e">
        <f t="shared" ref="FX38:GH38" si="218">FX37*$FS$7</f>
        <v>#DIV/0!</v>
      </c>
      <c r="FY38" s="325" t="e">
        <f t="shared" si="218"/>
        <v>#DIV/0!</v>
      </c>
      <c r="FZ38" s="325" t="e">
        <f t="shared" si="218"/>
        <v>#DIV/0!</v>
      </c>
      <c r="GA38" s="325" t="e">
        <f t="shared" si="218"/>
        <v>#DIV/0!</v>
      </c>
      <c r="GB38" s="325" t="e">
        <f t="shared" si="218"/>
        <v>#DIV/0!</v>
      </c>
      <c r="GC38" s="325" t="e">
        <f t="shared" si="218"/>
        <v>#DIV/0!</v>
      </c>
      <c r="GD38" s="325" t="e">
        <f t="shared" si="218"/>
        <v>#DIV/0!</v>
      </c>
      <c r="GE38" s="325" t="e">
        <f t="shared" si="218"/>
        <v>#DIV/0!</v>
      </c>
      <c r="GF38" s="325" t="e">
        <f t="shared" si="218"/>
        <v>#DIV/0!</v>
      </c>
      <c r="GG38" s="325" t="e">
        <f t="shared" si="218"/>
        <v>#DIV/0!</v>
      </c>
      <c r="GH38" s="325" t="e">
        <f t="shared" si="218"/>
        <v>#DIV/0!</v>
      </c>
      <c r="GI38" s="309" t="e">
        <f t="shared" ref="GI38:GI41" si="219">SUM(FW38:GH38)</f>
        <v>#DIV/0!</v>
      </c>
      <c r="GJ38" s="246">
        <v>2.5000000000000001E-2</v>
      </c>
      <c r="GL38" s="250">
        <f>GL36+1</f>
        <v>27</v>
      </c>
      <c r="GM38" s="352" t="s">
        <v>479</v>
      </c>
      <c r="GN38" s="353" t="e">
        <f t="shared" ref="GN38:GX38" si="220">FF177+FG126-GN34</f>
        <v>#DIV/0!</v>
      </c>
      <c r="GO38" s="353" t="e">
        <f t="shared" si="220"/>
        <v>#DIV/0!</v>
      </c>
      <c r="GP38" s="353" t="e">
        <f t="shared" si="220"/>
        <v>#DIV/0!</v>
      </c>
      <c r="GQ38" s="353" t="e">
        <f t="shared" si="220"/>
        <v>#DIV/0!</v>
      </c>
      <c r="GR38" s="353" t="e">
        <f t="shared" si="220"/>
        <v>#DIV/0!</v>
      </c>
      <c r="GS38" s="353" t="e">
        <f t="shared" si="220"/>
        <v>#DIV/0!</v>
      </c>
      <c r="GT38" s="353" t="e">
        <f t="shared" si="220"/>
        <v>#DIV/0!</v>
      </c>
      <c r="GU38" s="353" t="e">
        <f t="shared" si="220"/>
        <v>#DIV/0!</v>
      </c>
      <c r="GV38" s="353" t="e">
        <f t="shared" si="220"/>
        <v>#DIV/0!</v>
      </c>
      <c r="GW38" s="353" t="e">
        <f t="shared" si="220"/>
        <v>#DIV/0!</v>
      </c>
      <c r="GX38" s="353" t="e">
        <f t="shared" si="220"/>
        <v>#DIV/0!</v>
      </c>
      <c r="GY38" s="353" t="e">
        <f>FQ177-GY34</f>
        <v>#DIV/0!</v>
      </c>
      <c r="GZ38" s="328" t="e">
        <f>SUM(GN38:GY38)</f>
        <v>#DIV/0!</v>
      </c>
      <c r="HA38" s="329" t="e">
        <f t="shared" si="55"/>
        <v>#DIV/0!</v>
      </c>
      <c r="HD38" s="65" t="s">
        <v>828</v>
      </c>
      <c r="HE38" s="66">
        <v>0</v>
      </c>
      <c r="HF38" s="67">
        <f t="shared" si="77"/>
        <v>0</v>
      </c>
      <c r="HG38" s="68">
        <f t="shared" si="78"/>
        <v>0</v>
      </c>
      <c r="HH38" s="69">
        <v>1</v>
      </c>
      <c r="HI38" s="367">
        <v>0</v>
      </c>
      <c r="HJ38" s="140"/>
      <c r="HM38" s="410"/>
      <c r="HN38" s="382"/>
      <c r="HO38" s="371"/>
      <c r="HP38" s="382"/>
      <c r="HQ38" s="371"/>
      <c r="HR38" s="382"/>
      <c r="HS38" s="371"/>
      <c r="HT38" s="382"/>
      <c r="HU38" s="371"/>
      <c r="HV38" s="382"/>
      <c r="HW38" s="371"/>
      <c r="HX38" s="382"/>
      <c r="HY38" s="371"/>
      <c r="HZ38" s="382"/>
      <c r="IA38" s="371"/>
      <c r="IB38" s="382"/>
      <c r="IC38" s="371"/>
      <c r="ID38" s="382"/>
      <c r="IE38" s="371"/>
      <c r="IF38" s="382"/>
      <c r="IG38" s="371"/>
      <c r="IH38" s="382"/>
      <c r="II38" s="371"/>
      <c r="IJ38" s="382"/>
      <c r="IK38" s="371"/>
      <c r="IL38" s="288"/>
      <c r="IM38" s="371"/>
    </row>
    <row r="39" spans="2:247" ht="14.4" customHeight="1" x14ac:dyDescent="0.3">
      <c r="C39" s="44" t="s">
        <v>619</v>
      </c>
      <c r="D39" s="15">
        <f>$D$37*B21</f>
        <v>0</v>
      </c>
      <c r="E39" s="15">
        <f t="shared" si="215"/>
        <v>0</v>
      </c>
      <c r="F39" s="15">
        <f t="shared" si="216"/>
        <v>0</v>
      </c>
      <c r="G39" s="112"/>
      <c r="AM39" s="394">
        <f t="shared" si="5"/>
        <v>0</v>
      </c>
      <c r="AN39" s="394">
        <f t="shared" si="6"/>
        <v>0</v>
      </c>
      <c r="AO39" s="394">
        <f t="shared" si="7"/>
        <v>0</v>
      </c>
      <c r="AP39" s="394">
        <f t="shared" si="8"/>
        <v>0</v>
      </c>
      <c r="AQ39" s="395" t="s">
        <v>829</v>
      </c>
      <c r="AR39" s="297">
        <f t="shared" si="9"/>
        <v>0</v>
      </c>
      <c r="AS39" s="396" t="e">
        <f t="shared" si="2"/>
        <v>#DIV/0!</v>
      </c>
      <c r="AT39" s="531"/>
      <c r="AU39" s="531"/>
      <c r="AV39" s="299">
        <v>0</v>
      </c>
      <c r="AW39" s="300">
        <v>0</v>
      </c>
      <c r="AX39" s="301"/>
      <c r="BH39" s="531"/>
      <c r="BI39" s="531"/>
      <c r="BJ39" s="396" t="e">
        <f>$AS$37</f>
        <v>#DIV/0!</v>
      </c>
      <c r="BK39" s="242" t="str">
        <f t="shared" si="19"/>
        <v>C32</v>
      </c>
      <c r="BL39" s="303">
        <f t="shared" si="20"/>
        <v>0</v>
      </c>
      <c r="BM39" s="303">
        <f t="shared" si="20"/>
        <v>0</v>
      </c>
      <c r="BN39" s="303">
        <f t="shared" si="20"/>
        <v>0</v>
      </c>
      <c r="BO39" s="303">
        <f t="shared" si="21"/>
        <v>0</v>
      </c>
      <c r="BP39" s="303">
        <f t="shared" si="22"/>
        <v>0</v>
      </c>
      <c r="BQ39" s="303">
        <f t="shared" si="23"/>
        <v>0</v>
      </c>
      <c r="BR39" s="303">
        <f t="shared" si="24"/>
        <v>0</v>
      </c>
      <c r="BS39" s="303">
        <f t="shared" si="25"/>
        <v>0</v>
      </c>
      <c r="BT39" s="303">
        <f t="shared" si="26"/>
        <v>0</v>
      </c>
      <c r="BU39" s="303">
        <f t="shared" si="27"/>
        <v>0</v>
      </c>
      <c r="BV39" s="303">
        <f t="shared" si="28"/>
        <v>0</v>
      </c>
      <c r="BW39" s="303">
        <f t="shared" si="29"/>
        <v>0</v>
      </c>
      <c r="BX39" s="303">
        <f t="shared" si="30"/>
        <v>0</v>
      </c>
      <c r="BY39" s="303">
        <f t="shared" si="31"/>
        <v>0</v>
      </c>
      <c r="BZ39" s="303">
        <f t="shared" si="32"/>
        <v>0</v>
      </c>
      <c r="CB39" s="531"/>
      <c r="CC39" s="531"/>
      <c r="CD39" s="396" t="e">
        <f>$AS$37</f>
        <v>#DIV/0!</v>
      </c>
      <c r="CE39" s="242" t="str">
        <f>Tabla2[[#This Row],[Columna1]]</f>
        <v>C32</v>
      </c>
      <c r="CF39" s="303">
        <f>Tabla29[[#This Row],[Columna3]]/7</f>
        <v>0</v>
      </c>
      <c r="CG39" s="303">
        <f>Tabla29[[#This Row],[Columna4]]/4.2</f>
        <v>0</v>
      </c>
      <c r="CH39" s="303">
        <f>Tabla2[[#This Row],[Columna16]]</f>
        <v>0</v>
      </c>
      <c r="CI39" s="303" t="e">
        <f>(Tabla29[[#This Row],[Columna4]]*CI$5/$BZ$5)*$CH$4</f>
        <v>#DIV/0!</v>
      </c>
      <c r="CJ39" s="303" t="e">
        <f>(Tabla29[[#This Row],[Columna4]]*CJ$5/$BZ$5)*$CH$4</f>
        <v>#DIV/0!</v>
      </c>
      <c r="CK39" s="303" t="e">
        <f>(Tabla29[[#This Row],[Columna4]]*CK$5/$BZ$5)*$CH$4</f>
        <v>#DIV/0!</v>
      </c>
      <c r="CL39" s="303" t="e">
        <f>(Tabla29[[#This Row],[Columna4]]*CL$5/$BZ$5)*$CH$4</f>
        <v>#DIV/0!</v>
      </c>
      <c r="CM39" s="303" t="e">
        <f>(Tabla29[[#This Row],[Columna4]]*CM$5/$BZ$5)*$CH$4</f>
        <v>#DIV/0!</v>
      </c>
      <c r="CN39" s="303" t="e">
        <f>(Tabla29[[#This Row],[Columna4]]*CN$5/$BZ$5)*$CH$4</f>
        <v>#DIV/0!</v>
      </c>
      <c r="CO39" s="303" t="e">
        <f>(Tabla29[[#This Row],[Columna4]]*CO$5/$BZ$5)*$CH$4</f>
        <v>#DIV/0!</v>
      </c>
      <c r="CP39" s="303" t="e">
        <f>(Tabla29[[#This Row],[Columna4]]*CP$5/$BZ$5)*$CH$4</f>
        <v>#DIV/0!</v>
      </c>
      <c r="CQ39" s="303" t="e">
        <f>(Tabla29[[#This Row],[Columna4]]*CQ$5/$BZ$5)*$CH$4</f>
        <v>#DIV/0!</v>
      </c>
      <c r="CR39" s="303" t="e">
        <f>(Tabla29[[#This Row],[Columna4]]*CR$5/$BZ$5)*$CH$4</f>
        <v>#DIV/0!</v>
      </c>
      <c r="CS39" s="303" t="e">
        <f>(Tabla29[[#This Row],[Columna4]]*CS$5/$BZ$5)*$CH$4</f>
        <v>#DIV/0!</v>
      </c>
      <c r="CT39" s="303" t="e">
        <f>(Tabla29[[#This Row],[Columna4]]*CT$5/$BZ$5)*$CH$4</f>
        <v>#DIV/0!</v>
      </c>
      <c r="CV39" s="531"/>
      <c r="CW39" s="531"/>
      <c r="CX39" s="396" t="e">
        <f>$AS$37</f>
        <v>#DIV/0!</v>
      </c>
      <c r="CY39" s="242" t="str">
        <f>Tabla2[[#This Row],[Columna1]]</f>
        <v>C32</v>
      </c>
      <c r="CZ39" s="303" t="e">
        <f>Tabla292[[#This Row],[Columna3]]/7</f>
        <v>#DIV/0!</v>
      </c>
      <c r="DA39" s="303" t="e">
        <f>Tabla292[[#This Row],[Columna4]]/4.2</f>
        <v>#DIV/0!</v>
      </c>
      <c r="DB39" s="303" t="e">
        <f>Tabla29[[#This Row],[Columna16]]</f>
        <v>#DIV/0!</v>
      </c>
      <c r="DC39" s="303" t="e">
        <f>(Tabla292[[#This Row],[Columna4]]*DC$5/$CT$5)*$DB$4</f>
        <v>#DIV/0!</v>
      </c>
      <c r="DD39" s="303" t="e">
        <f>(Tabla292[[#This Row],[Columna4]]*DD$5/$CT$5)*$DB$4</f>
        <v>#DIV/0!</v>
      </c>
      <c r="DE39" s="303" t="e">
        <f>(Tabla292[[#This Row],[Columna4]]*DE$5/$CT$5)*$DB$4</f>
        <v>#DIV/0!</v>
      </c>
      <c r="DF39" s="303" t="e">
        <f>(Tabla292[[#This Row],[Columna4]]*DF$5/$CT$5)*$DB$4</f>
        <v>#DIV/0!</v>
      </c>
      <c r="DG39" s="303" t="e">
        <f>(Tabla292[[#This Row],[Columna4]]*DG$5/$CT$5)*$DB$4</f>
        <v>#DIV/0!</v>
      </c>
      <c r="DH39" s="303" t="e">
        <f>(Tabla292[[#This Row],[Columna4]]*DH$5/$CT$5)*$DB$4</f>
        <v>#DIV/0!</v>
      </c>
      <c r="DI39" s="303" t="e">
        <f>(Tabla292[[#This Row],[Columna4]]*DI$5/$CT$5)*$DB$4</f>
        <v>#DIV/0!</v>
      </c>
      <c r="DJ39" s="303" t="e">
        <f>(Tabla292[[#This Row],[Columna4]]*DJ$5/$CT$5)*$DB$4</f>
        <v>#DIV/0!</v>
      </c>
      <c r="DK39" s="303" t="e">
        <f>(Tabla292[[#This Row],[Columna4]]*DK$5/$CT$5)*$DB$4</f>
        <v>#DIV/0!</v>
      </c>
      <c r="DL39" s="303" t="e">
        <f>(Tabla292[[#This Row],[Columna4]]*DL$5/$CT$5)*$DB$4</f>
        <v>#DIV/0!</v>
      </c>
      <c r="DM39" s="303" t="e">
        <f>(Tabla292[[#This Row],[Columna4]]*DM$5/$CT$5)*$DB$4</f>
        <v>#DIV/0!</v>
      </c>
      <c r="DN39" s="303" t="e">
        <f>(Tabla292[[#This Row],[Columna4]]*DN$5/$CT$5)*$DB$4</f>
        <v>#DIV/0!</v>
      </c>
      <c r="DP39" s="531"/>
      <c r="DQ39" s="531"/>
      <c r="DR39" s="396" t="e">
        <f>$AS$37</f>
        <v>#DIV/0!</v>
      </c>
      <c r="DS39" s="242" t="str">
        <f>Tabla2[[#This Row],[Columna1]]</f>
        <v>C32</v>
      </c>
      <c r="DT39" s="303" t="e">
        <f>Tabla2926[[#This Row],[Columna3]]/7</f>
        <v>#DIV/0!</v>
      </c>
      <c r="DU39" s="303" t="e">
        <f>Tabla2926[[#This Row],[Columna4]]/4.2</f>
        <v>#DIV/0!</v>
      </c>
      <c r="DV39" s="303" t="e">
        <f>Tabla292[[#This Row],[Columna16]]</f>
        <v>#DIV/0!</v>
      </c>
      <c r="DW39" s="303" t="e">
        <f>(Tabla2926[[#This Row],[Columna4]]*DW$5/$DN$5)*$DV$4</f>
        <v>#DIV/0!</v>
      </c>
      <c r="DX39" s="303" t="e">
        <f>(Tabla2926[[#This Row],[Columna4]]*DX$5/$DN$5)*$DV$4</f>
        <v>#DIV/0!</v>
      </c>
      <c r="DY39" s="303" t="e">
        <f>(Tabla2926[[#This Row],[Columna4]]*DY$5/$DN$5)*$DV$4</f>
        <v>#DIV/0!</v>
      </c>
      <c r="DZ39" s="303" t="e">
        <f>(Tabla2926[[#This Row],[Columna4]]*DZ$5/$DN$5)*$DV$4</f>
        <v>#DIV/0!</v>
      </c>
      <c r="EA39" s="303" t="e">
        <f>(Tabla2926[[#This Row],[Columna4]]*EA$5/$DN$5)*$DV$4</f>
        <v>#DIV/0!</v>
      </c>
      <c r="EB39" s="303" t="e">
        <f>(Tabla2926[[#This Row],[Columna4]]*EB$5/$DN$5)*$DV$4</f>
        <v>#DIV/0!</v>
      </c>
      <c r="EC39" s="303" t="e">
        <f>(Tabla2926[[#This Row],[Columna4]]*EC$5/$DN$5)*$DV$4</f>
        <v>#DIV/0!</v>
      </c>
      <c r="ED39" s="303" t="e">
        <f>(Tabla2926[[#This Row],[Columna4]]*ED$5/$DN$5)*$DV$4</f>
        <v>#DIV/0!</v>
      </c>
      <c r="EE39" s="303" t="e">
        <f>(Tabla2926[[#This Row],[Columna4]]*EE$5/$DN$5)*$DV$4</f>
        <v>#DIV/0!</v>
      </c>
      <c r="EF39" s="303" t="e">
        <f>(Tabla2926[[#This Row],[Columna4]]*EF$5/$DN$5)*$DV$4</f>
        <v>#DIV/0!</v>
      </c>
      <c r="EG39" s="303" t="e">
        <f>(Tabla2926[[#This Row],[Columna4]]*EG$5/$DN$5)*$DV$4</f>
        <v>#DIV/0!</v>
      </c>
      <c r="EH39" s="303" t="e">
        <f>(Tabla2926[[#This Row],[Columna4]]*EH$5/$DN$5)*$DV$4</f>
        <v>#DIV/0!</v>
      </c>
      <c r="EJ39" s="531"/>
      <c r="EK39" s="531"/>
      <c r="EL39" s="396" t="e">
        <f>$AS$37</f>
        <v>#DIV/0!</v>
      </c>
      <c r="EM39" s="242" t="str">
        <f>Tabla2[[#This Row],[Columna1]]</f>
        <v>C32</v>
      </c>
      <c r="EN39" s="303" t="e">
        <f>Tabla29268[[#This Row],[Columna3]]/7</f>
        <v>#DIV/0!</v>
      </c>
      <c r="EO39" s="303" t="e">
        <f>Tabla29268[[#This Row],[Columna4]]/4.2</f>
        <v>#DIV/0!</v>
      </c>
      <c r="EP39" s="303" t="e">
        <f>Tabla2926[[#This Row],[Columna16]]</f>
        <v>#DIV/0!</v>
      </c>
      <c r="EQ39" s="303" t="e">
        <f>(Tabla29268[[#This Row],[Columna4]]*EQ$5/$EH$5)*$EP$4</f>
        <v>#DIV/0!</v>
      </c>
      <c r="ER39" s="303" t="e">
        <f>(Tabla29268[[#This Row],[Columna4]]*ER$5/$EH$5)*$EP$4</f>
        <v>#DIV/0!</v>
      </c>
      <c r="ES39" s="303" t="e">
        <f>(Tabla29268[[#This Row],[Columna4]]*ES$5/$EH$5)*$EP$4</f>
        <v>#DIV/0!</v>
      </c>
      <c r="ET39" s="303" t="e">
        <f>(Tabla29268[[#This Row],[Columna4]]*ET$5/$EH$5)*$EP$4</f>
        <v>#DIV/0!</v>
      </c>
      <c r="EU39" s="303" t="e">
        <f>(Tabla29268[[#This Row],[Columna4]]*EU$5/$EH$5)*$EP$4</f>
        <v>#DIV/0!</v>
      </c>
      <c r="EV39" s="303" t="e">
        <f>(Tabla29268[[#This Row],[Columna4]]*EV$5/$EH$5)*$EP$4</f>
        <v>#DIV/0!</v>
      </c>
      <c r="EW39" s="303" t="e">
        <f>(Tabla29268[[#This Row],[Columna4]]*EW$5/$EH$5)*$EP$4</f>
        <v>#DIV/0!</v>
      </c>
      <c r="EX39" s="303" t="e">
        <f>(Tabla29268[[#This Row],[Columna4]]*EX$5/$EH$5)*$EP$4</f>
        <v>#DIV/0!</v>
      </c>
      <c r="EY39" s="303" t="e">
        <f>(Tabla29268[[#This Row],[Columna4]]*EY$5/$EH$5)*$EP$4</f>
        <v>#DIV/0!</v>
      </c>
      <c r="EZ39" s="303" t="e">
        <f>(Tabla29268[[#This Row],[Columna4]]*EZ$5/$EH$5)*$EP$4</f>
        <v>#DIV/0!</v>
      </c>
      <c r="FA39" s="303" t="e">
        <f>(Tabla29268[[#This Row],[Columna4]]*FA$5/$EH$5)*$EP$4</f>
        <v>#DIV/0!</v>
      </c>
      <c r="FB39" s="303" t="e">
        <f>(Tabla29268[[#This Row],[Columna4]]*FB$5/$EH$5)*$EP$4</f>
        <v>#DIV/0!</v>
      </c>
      <c r="FD39" s="397" t="s">
        <v>37</v>
      </c>
      <c r="FE39" s="399" t="s">
        <v>34</v>
      </c>
      <c r="FF39" s="400">
        <f t="shared" si="212"/>
        <v>0</v>
      </c>
      <c r="FG39" s="400">
        <f t="shared" si="212"/>
        <v>0</v>
      </c>
      <c r="FH39" s="400">
        <f t="shared" si="212"/>
        <v>0</v>
      </c>
      <c r="FI39" s="400">
        <f t="shared" si="212"/>
        <v>0</v>
      </c>
      <c r="FJ39" s="400">
        <f t="shared" si="212"/>
        <v>0</v>
      </c>
      <c r="FK39" s="400">
        <f t="shared" si="212"/>
        <v>0</v>
      </c>
      <c r="FL39" s="400">
        <f t="shared" si="212"/>
        <v>0</v>
      </c>
      <c r="FM39" s="400">
        <f t="shared" si="212"/>
        <v>0</v>
      </c>
      <c r="FN39" s="400">
        <f t="shared" si="212"/>
        <v>0</v>
      </c>
      <c r="FO39" s="400">
        <f t="shared" si="212"/>
        <v>0</v>
      </c>
      <c r="FP39" s="400">
        <f t="shared" si="212"/>
        <v>0</v>
      </c>
      <c r="FQ39" s="400">
        <f t="shared" si="212"/>
        <v>0</v>
      </c>
      <c r="FR39" s="363">
        <f t="shared" si="197"/>
        <v>0</v>
      </c>
      <c r="FS39" s="260" t="e">
        <f t="shared" si="198"/>
        <v>#DIV/0!</v>
      </c>
      <c r="FV39" s="307" t="s">
        <v>17</v>
      </c>
      <c r="FW39" s="308" t="e">
        <f>FW37-FW38</f>
        <v>#DIV/0!</v>
      </c>
      <c r="FX39" s="308" t="e">
        <f t="shared" ref="FX39:GH39" si="221">FX37-FX38</f>
        <v>#DIV/0!</v>
      </c>
      <c r="FY39" s="308" t="e">
        <f t="shared" si="221"/>
        <v>#DIV/0!</v>
      </c>
      <c r="FZ39" s="308" t="e">
        <f t="shared" si="221"/>
        <v>#DIV/0!</v>
      </c>
      <c r="GA39" s="308" t="e">
        <f t="shared" si="221"/>
        <v>#DIV/0!</v>
      </c>
      <c r="GB39" s="308" t="e">
        <f t="shared" si="221"/>
        <v>#DIV/0!</v>
      </c>
      <c r="GC39" s="308" t="e">
        <f t="shared" si="221"/>
        <v>#DIV/0!</v>
      </c>
      <c r="GD39" s="308" t="e">
        <f t="shared" si="221"/>
        <v>#DIV/0!</v>
      </c>
      <c r="GE39" s="308" t="e">
        <f t="shared" si="221"/>
        <v>#DIV/0!</v>
      </c>
      <c r="GF39" s="308" t="e">
        <f t="shared" si="221"/>
        <v>#DIV/0!</v>
      </c>
      <c r="GG39" s="308" t="e">
        <f t="shared" si="221"/>
        <v>#DIV/0!</v>
      </c>
      <c r="GH39" s="308" t="e">
        <f t="shared" si="221"/>
        <v>#DIV/0!</v>
      </c>
      <c r="GI39" s="309" t="e">
        <f t="shared" si="219"/>
        <v>#DIV/0!</v>
      </c>
      <c r="GJ39" s="262" t="e">
        <f t="shared" ref="GJ39:GJ41" si="222">GI39/$GI$6</f>
        <v>#DIV/0!</v>
      </c>
      <c r="GK39" s="262" t="e">
        <f>GI39/GI8-1</f>
        <v>#DIV/0!</v>
      </c>
      <c r="GL39" s="250"/>
      <c r="GM39" s="411" t="s">
        <v>480</v>
      </c>
      <c r="GN39" s="311" t="e">
        <f t="shared" ref="GN39:GZ39" si="223">GN15+GN19+GN33+GN37</f>
        <v>#DIV/0!</v>
      </c>
      <c r="GO39" s="311" t="e">
        <f t="shared" si="223"/>
        <v>#DIV/0!</v>
      </c>
      <c r="GP39" s="311" t="e">
        <f t="shared" si="223"/>
        <v>#DIV/0!</v>
      </c>
      <c r="GQ39" s="311" t="e">
        <f t="shared" si="223"/>
        <v>#DIV/0!</v>
      </c>
      <c r="GR39" s="311" t="e">
        <f t="shared" si="223"/>
        <v>#DIV/0!</v>
      </c>
      <c r="GS39" s="311" t="e">
        <f t="shared" si="223"/>
        <v>#DIV/0!</v>
      </c>
      <c r="GT39" s="311" t="e">
        <f t="shared" si="223"/>
        <v>#DIV/0!</v>
      </c>
      <c r="GU39" s="311" t="e">
        <f t="shared" si="223"/>
        <v>#DIV/0!</v>
      </c>
      <c r="GV39" s="311" t="e">
        <f t="shared" si="223"/>
        <v>#DIV/0!</v>
      </c>
      <c r="GW39" s="311" t="e">
        <f t="shared" si="223"/>
        <v>#DIV/0!</v>
      </c>
      <c r="GX39" s="311" t="e">
        <f t="shared" si="223"/>
        <v>#DIV/0!</v>
      </c>
      <c r="GY39" s="311" t="e">
        <f t="shared" si="223"/>
        <v>#DIV/0!</v>
      </c>
      <c r="GZ39" s="311" t="e">
        <f t="shared" si="223"/>
        <v>#DIV/0!</v>
      </c>
      <c r="HA39" s="312" t="e">
        <f t="shared" si="55"/>
        <v>#DIV/0!</v>
      </c>
      <c r="HD39" s="65" t="s">
        <v>830</v>
      </c>
      <c r="HE39" s="66">
        <v>0</v>
      </c>
      <c r="HF39" s="67">
        <f t="shared" si="77"/>
        <v>0</v>
      </c>
      <c r="HG39" s="68">
        <f t="shared" si="78"/>
        <v>0</v>
      </c>
      <c r="HH39" s="69">
        <v>1</v>
      </c>
      <c r="HI39" s="367">
        <v>0</v>
      </c>
      <c r="HJ39" s="140"/>
      <c r="HM39" s="408" t="s">
        <v>598</v>
      </c>
      <c r="HN39" s="331" t="e">
        <f>HN17-HN37</f>
        <v>#DIV/0!</v>
      </c>
      <c r="HO39" s="354" t="e">
        <f>HN39/HN$9</f>
        <v>#DIV/0!</v>
      </c>
      <c r="HP39" s="331" t="e">
        <f t="shared" ref="HP39" si="224">HP17-HP37</f>
        <v>#DIV/0!</v>
      </c>
      <c r="HQ39" s="354" t="e">
        <f t="shared" ref="HQ39" si="225">HP39/HP$9</f>
        <v>#DIV/0!</v>
      </c>
      <c r="HR39" s="331" t="e">
        <f t="shared" ref="HR39" si="226">HR17-HR37</f>
        <v>#DIV/0!</v>
      </c>
      <c r="HS39" s="354" t="e">
        <f t="shared" ref="HS39" si="227">HR39/HR$9</f>
        <v>#DIV/0!</v>
      </c>
      <c r="HT39" s="331" t="e">
        <f t="shared" ref="HT39" si="228">HT17-HT37</f>
        <v>#DIV/0!</v>
      </c>
      <c r="HU39" s="354" t="e">
        <f t="shared" ref="HU39" si="229">HT39/HT$9</f>
        <v>#DIV/0!</v>
      </c>
      <c r="HV39" s="331" t="e">
        <f t="shared" ref="HV39" si="230">HV17-HV37</f>
        <v>#DIV/0!</v>
      </c>
      <c r="HW39" s="354" t="e">
        <f t="shared" ref="HW39" si="231">HV39/HV$9</f>
        <v>#DIV/0!</v>
      </c>
      <c r="HX39" s="331" t="e">
        <f t="shared" ref="HX39" si="232">HX17-HX37</f>
        <v>#DIV/0!</v>
      </c>
      <c r="HY39" s="354" t="e">
        <f t="shared" ref="HY39" si="233">HX39/HX$9</f>
        <v>#DIV/0!</v>
      </c>
      <c r="HZ39" s="331" t="e">
        <f t="shared" ref="HZ39" si="234">HZ17-HZ37</f>
        <v>#DIV/0!</v>
      </c>
      <c r="IA39" s="354" t="e">
        <f t="shared" ref="IA39" si="235">HZ39/HZ$9</f>
        <v>#DIV/0!</v>
      </c>
      <c r="IB39" s="331" t="e">
        <f t="shared" ref="IB39" si="236">IB17-IB37</f>
        <v>#DIV/0!</v>
      </c>
      <c r="IC39" s="354" t="e">
        <f t="shared" ref="IC39" si="237">IB39/IB$9</f>
        <v>#DIV/0!</v>
      </c>
      <c r="ID39" s="331" t="e">
        <f t="shared" ref="ID39" si="238">ID17-ID37</f>
        <v>#DIV/0!</v>
      </c>
      <c r="IE39" s="354" t="e">
        <f t="shared" ref="IE39" si="239">ID39/ID$9</f>
        <v>#DIV/0!</v>
      </c>
      <c r="IF39" s="331" t="e">
        <f t="shared" ref="IF39" si="240">IF17-IF37</f>
        <v>#DIV/0!</v>
      </c>
      <c r="IG39" s="354" t="e">
        <f t="shared" ref="IG39" si="241">IF39/IF$9</f>
        <v>#DIV/0!</v>
      </c>
      <c r="IH39" s="331" t="e">
        <f t="shared" ref="IH39" si="242">IH17-IH37</f>
        <v>#DIV/0!</v>
      </c>
      <c r="II39" s="354" t="e">
        <f t="shared" ref="II39" si="243">IH39/IH$9</f>
        <v>#DIV/0!</v>
      </c>
      <c r="IJ39" s="331" t="e">
        <f t="shared" ref="IJ39" si="244">IJ17-IJ37</f>
        <v>#DIV/0!</v>
      </c>
      <c r="IK39" s="354" t="e">
        <f t="shared" ref="IK39:IM39" si="245">IJ39/IJ$9</f>
        <v>#DIV/0!</v>
      </c>
      <c r="IL39" s="333" t="e">
        <f>IL17-IL37</f>
        <v>#DIV/0!</v>
      </c>
      <c r="IM39" s="354" t="e">
        <f t="shared" si="245"/>
        <v>#DIV/0!</v>
      </c>
    </row>
    <row r="40" spans="2:247" ht="14.4" customHeight="1" x14ac:dyDescent="0.3">
      <c r="C40" s="44" t="s">
        <v>620</v>
      </c>
      <c r="D40" s="15">
        <f>$D$37*B22</f>
        <v>0</v>
      </c>
      <c r="E40" s="15">
        <f t="shared" si="215"/>
        <v>0</v>
      </c>
      <c r="F40" s="15">
        <f t="shared" si="216"/>
        <v>0</v>
      </c>
      <c r="G40" s="112"/>
      <c r="AM40" s="412">
        <f t="shared" si="5"/>
        <v>0</v>
      </c>
      <c r="AN40" s="412">
        <f t="shared" si="6"/>
        <v>0</v>
      </c>
      <c r="AO40" s="412">
        <f t="shared" si="7"/>
        <v>0</v>
      </c>
      <c r="AP40" s="412">
        <f t="shared" si="8"/>
        <v>0</v>
      </c>
      <c r="AQ40" s="413" t="s">
        <v>831</v>
      </c>
      <c r="AR40" s="297">
        <f t="shared" si="9"/>
        <v>0</v>
      </c>
      <c r="AS40" s="414" t="e">
        <f t="shared" si="2"/>
        <v>#DIV/0!</v>
      </c>
      <c r="AT40" s="529" t="e">
        <f>SUM(AS40:AS48)</f>
        <v>#DIV/0!</v>
      </c>
      <c r="AU40" s="529" t="s">
        <v>335</v>
      </c>
      <c r="AV40" s="299">
        <v>0</v>
      </c>
      <c r="AW40" s="300">
        <v>0</v>
      </c>
      <c r="AX40" s="301"/>
      <c r="BH40" s="531"/>
      <c r="BI40" s="531"/>
      <c r="BJ40" s="396" t="e">
        <f>$AS$38</f>
        <v>#DIV/0!</v>
      </c>
      <c r="BK40" s="242" t="str">
        <f t="shared" si="19"/>
        <v>C33</v>
      </c>
      <c r="BL40" s="303">
        <f t="shared" si="20"/>
        <v>0</v>
      </c>
      <c r="BM40" s="303">
        <f t="shared" si="20"/>
        <v>0</v>
      </c>
      <c r="BN40" s="303">
        <f t="shared" si="20"/>
        <v>0</v>
      </c>
      <c r="BO40" s="303">
        <f t="shared" si="21"/>
        <v>0</v>
      </c>
      <c r="BP40" s="303">
        <f t="shared" si="22"/>
        <v>0</v>
      </c>
      <c r="BQ40" s="303">
        <f t="shared" si="23"/>
        <v>0</v>
      </c>
      <c r="BR40" s="303">
        <f t="shared" si="24"/>
        <v>0</v>
      </c>
      <c r="BS40" s="303">
        <f t="shared" si="25"/>
        <v>0</v>
      </c>
      <c r="BT40" s="303">
        <f t="shared" si="26"/>
        <v>0</v>
      </c>
      <c r="BU40" s="303">
        <f t="shared" si="27"/>
        <v>0</v>
      </c>
      <c r="BV40" s="303">
        <f t="shared" si="28"/>
        <v>0</v>
      </c>
      <c r="BW40" s="303">
        <f t="shared" si="29"/>
        <v>0</v>
      </c>
      <c r="BX40" s="303">
        <f t="shared" si="30"/>
        <v>0</v>
      </c>
      <c r="BY40" s="303">
        <f t="shared" si="31"/>
        <v>0</v>
      </c>
      <c r="BZ40" s="303">
        <f t="shared" si="32"/>
        <v>0</v>
      </c>
      <c r="CB40" s="531"/>
      <c r="CC40" s="531"/>
      <c r="CD40" s="396" t="e">
        <f>$AS$38</f>
        <v>#DIV/0!</v>
      </c>
      <c r="CE40" s="242" t="str">
        <f>Tabla2[[#This Row],[Columna1]]</f>
        <v>C33</v>
      </c>
      <c r="CF40" s="303">
        <f>Tabla29[[#This Row],[Columna3]]/7</f>
        <v>0</v>
      </c>
      <c r="CG40" s="303">
        <f>Tabla29[[#This Row],[Columna4]]/4.2</f>
        <v>0</v>
      </c>
      <c r="CH40" s="303">
        <f>Tabla2[[#This Row],[Columna16]]</f>
        <v>0</v>
      </c>
      <c r="CI40" s="303" t="e">
        <f>(Tabla29[[#This Row],[Columna4]]*CI$5/$BZ$5)*$CH$4</f>
        <v>#DIV/0!</v>
      </c>
      <c r="CJ40" s="303" t="e">
        <f>(Tabla29[[#This Row],[Columna4]]*CJ$5/$BZ$5)*$CH$4</f>
        <v>#DIV/0!</v>
      </c>
      <c r="CK40" s="303" t="e">
        <f>(Tabla29[[#This Row],[Columna4]]*CK$5/$BZ$5)*$CH$4</f>
        <v>#DIV/0!</v>
      </c>
      <c r="CL40" s="303" t="e">
        <f>(Tabla29[[#This Row],[Columna4]]*CL$5/$BZ$5)*$CH$4</f>
        <v>#DIV/0!</v>
      </c>
      <c r="CM40" s="303" t="e">
        <f>(Tabla29[[#This Row],[Columna4]]*CM$5/$BZ$5)*$CH$4</f>
        <v>#DIV/0!</v>
      </c>
      <c r="CN40" s="303" t="e">
        <f>(Tabla29[[#This Row],[Columna4]]*CN$5/$BZ$5)*$CH$4</f>
        <v>#DIV/0!</v>
      </c>
      <c r="CO40" s="303" t="e">
        <f>(Tabla29[[#This Row],[Columna4]]*CO$5/$BZ$5)*$CH$4</f>
        <v>#DIV/0!</v>
      </c>
      <c r="CP40" s="303" t="e">
        <f>(Tabla29[[#This Row],[Columna4]]*CP$5/$BZ$5)*$CH$4</f>
        <v>#DIV/0!</v>
      </c>
      <c r="CQ40" s="303" t="e">
        <f>(Tabla29[[#This Row],[Columna4]]*CQ$5/$BZ$5)*$CH$4</f>
        <v>#DIV/0!</v>
      </c>
      <c r="CR40" s="303" t="e">
        <f>(Tabla29[[#This Row],[Columna4]]*CR$5/$BZ$5)*$CH$4</f>
        <v>#DIV/0!</v>
      </c>
      <c r="CS40" s="303" t="e">
        <f>(Tabla29[[#This Row],[Columna4]]*CS$5/$BZ$5)*$CH$4</f>
        <v>#DIV/0!</v>
      </c>
      <c r="CT40" s="303" t="e">
        <f>(Tabla29[[#This Row],[Columna4]]*CT$5/$BZ$5)*$CH$4</f>
        <v>#DIV/0!</v>
      </c>
      <c r="CV40" s="531"/>
      <c r="CW40" s="531"/>
      <c r="CX40" s="396" t="e">
        <f>$AS$38</f>
        <v>#DIV/0!</v>
      </c>
      <c r="CY40" s="242" t="str">
        <f>Tabla2[[#This Row],[Columna1]]</f>
        <v>C33</v>
      </c>
      <c r="CZ40" s="303" t="e">
        <f>Tabla292[[#This Row],[Columna3]]/7</f>
        <v>#DIV/0!</v>
      </c>
      <c r="DA40" s="303" t="e">
        <f>Tabla292[[#This Row],[Columna4]]/4.2</f>
        <v>#DIV/0!</v>
      </c>
      <c r="DB40" s="303" t="e">
        <f>Tabla29[[#This Row],[Columna16]]</f>
        <v>#DIV/0!</v>
      </c>
      <c r="DC40" s="303" t="e">
        <f>(Tabla292[[#This Row],[Columna4]]*DC$5/$CT$5)*$DB$4</f>
        <v>#DIV/0!</v>
      </c>
      <c r="DD40" s="303" t="e">
        <f>(Tabla292[[#This Row],[Columna4]]*DD$5/$CT$5)*$DB$4</f>
        <v>#DIV/0!</v>
      </c>
      <c r="DE40" s="303" t="e">
        <f>(Tabla292[[#This Row],[Columna4]]*DE$5/$CT$5)*$DB$4</f>
        <v>#DIV/0!</v>
      </c>
      <c r="DF40" s="303" t="e">
        <f>(Tabla292[[#This Row],[Columna4]]*DF$5/$CT$5)*$DB$4</f>
        <v>#DIV/0!</v>
      </c>
      <c r="DG40" s="303" t="e">
        <f>(Tabla292[[#This Row],[Columna4]]*DG$5/$CT$5)*$DB$4</f>
        <v>#DIV/0!</v>
      </c>
      <c r="DH40" s="303" t="e">
        <f>(Tabla292[[#This Row],[Columna4]]*DH$5/$CT$5)*$DB$4</f>
        <v>#DIV/0!</v>
      </c>
      <c r="DI40" s="303" t="e">
        <f>(Tabla292[[#This Row],[Columna4]]*DI$5/$CT$5)*$DB$4</f>
        <v>#DIV/0!</v>
      </c>
      <c r="DJ40" s="303" t="e">
        <f>(Tabla292[[#This Row],[Columna4]]*DJ$5/$CT$5)*$DB$4</f>
        <v>#DIV/0!</v>
      </c>
      <c r="DK40" s="303" t="e">
        <f>(Tabla292[[#This Row],[Columna4]]*DK$5/$CT$5)*$DB$4</f>
        <v>#DIV/0!</v>
      </c>
      <c r="DL40" s="303" t="e">
        <f>(Tabla292[[#This Row],[Columna4]]*DL$5/$CT$5)*$DB$4</f>
        <v>#DIV/0!</v>
      </c>
      <c r="DM40" s="303" t="e">
        <f>(Tabla292[[#This Row],[Columna4]]*DM$5/$CT$5)*$DB$4</f>
        <v>#DIV/0!</v>
      </c>
      <c r="DN40" s="303" t="e">
        <f>(Tabla292[[#This Row],[Columna4]]*DN$5/$CT$5)*$DB$4</f>
        <v>#DIV/0!</v>
      </c>
      <c r="DP40" s="531"/>
      <c r="DQ40" s="531"/>
      <c r="DR40" s="396" t="e">
        <f>$AS$38</f>
        <v>#DIV/0!</v>
      </c>
      <c r="DS40" s="242" t="str">
        <f>Tabla2[[#This Row],[Columna1]]</f>
        <v>C33</v>
      </c>
      <c r="DT40" s="303" t="e">
        <f>Tabla2926[[#This Row],[Columna3]]/7</f>
        <v>#DIV/0!</v>
      </c>
      <c r="DU40" s="303" t="e">
        <f>Tabla2926[[#This Row],[Columna4]]/4.2</f>
        <v>#DIV/0!</v>
      </c>
      <c r="DV40" s="303" t="e">
        <f>Tabla292[[#This Row],[Columna16]]</f>
        <v>#DIV/0!</v>
      </c>
      <c r="DW40" s="303" t="e">
        <f>(Tabla2926[[#This Row],[Columna4]]*DW$5/$DN$5)*$DV$4</f>
        <v>#DIV/0!</v>
      </c>
      <c r="DX40" s="303" t="e">
        <f>(Tabla2926[[#This Row],[Columna4]]*DX$5/$DN$5)*$DV$4</f>
        <v>#DIV/0!</v>
      </c>
      <c r="DY40" s="303" t="e">
        <f>(Tabla2926[[#This Row],[Columna4]]*DY$5/$DN$5)*$DV$4</f>
        <v>#DIV/0!</v>
      </c>
      <c r="DZ40" s="303" t="e">
        <f>(Tabla2926[[#This Row],[Columna4]]*DZ$5/$DN$5)*$DV$4</f>
        <v>#DIV/0!</v>
      </c>
      <c r="EA40" s="303" t="e">
        <f>(Tabla2926[[#This Row],[Columna4]]*EA$5/$DN$5)*$DV$4</f>
        <v>#DIV/0!</v>
      </c>
      <c r="EB40" s="303" t="e">
        <f>(Tabla2926[[#This Row],[Columna4]]*EB$5/$DN$5)*$DV$4</f>
        <v>#DIV/0!</v>
      </c>
      <c r="EC40" s="303" t="e">
        <f>(Tabla2926[[#This Row],[Columna4]]*EC$5/$DN$5)*$DV$4</f>
        <v>#DIV/0!</v>
      </c>
      <c r="ED40" s="303" t="e">
        <f>(Tabla2926[[#This Row],[Columna4]]*ED$5/$DN$5)*$DV$4</f>
        <v>#DIV/0!</v>
      </c>
      <c r="EE40" s="303" t="e">
        <f>(Tabla2926[[#This Row],[Columna4]]*EE$5/$DN$5)*$DV$4</f>
        <v>#DIV/0!</v>
      </c>
      <c r="EF40" s="303" t="e">
        <f>(Tabla2926[[#This Row],[Columna4]]*EF$5/$DN$5)*$DV$4</f>
        <v>#DIV/0!</v>
      </c>
      <c r="EG40" s="303" t="e">
        <f>(Tabla2926[[#This Row],[Columna4]]*EG$5/$DN$5)*$DV$4</f>
        <v>#DIV/0!</v>
      </c>
      <c r="EH40" s="303" t="e">
        <f>(Tabla2926[[#This Row],[Columna4]]*EH$5/$DN$5)*$DV$4</f>
        <v>#DIV/0!</v>
      </c>
      <c r="EJ40" s="531"/>
      <c r="EK40" s="531"/>
      <c r="EL40" s="396" t="e">
        <f>$AS$38</f>
        <v>#DIV/0!</v>
      </c>
      <c r="EM40" s="242" t="str">
        <f>Tabla2[[#This Row],[Columna1]]</f>
        <v>C33</v>
      </c>
      <c r="EN40" s="303" t="e">
        <f>Tabla29268[[#This Row],[Columna3]]/7</f>
        <v>#DIV/0!</v>
      </c>
      <c r="EO40" s="303" t="e">
        <f>Tabla29268[[#This Row],[Columna4]]/4.2</f>
        <v>#DIV/0!</v>
      </c>
      <c r="EP40" s="303" t="e">
        <f>Tabla2926[[#This Row],[Columna16]]</f>
        <v>#DIV/0!</v>
      </c>
      <c r="EQ40" s="303" t="e">
        <f>(Tabla29268[[#This Row],[Columna4]]*EQ$5/$EH$5)*$EP$4</f>
        <v>#DIV/0!</v>
      </c>
      <c r="ER40" s="303" t="e">
        <f>(Tabla29268[[#This Row],[Columna4]]*ER$5/$EH$5)*$EP$4</f>
        <v>#DIV/0!</v>
      </c>
      <c r="ES40" s="303" t="e">
        <f>(Tabla29268[[#This Row],[Columna4]]*ES$5/$EH$5)*$EP$4</f>
        <v>#DIV/0!</v>
      </c>
      <c r="ET40" s="303" t="e">
        <f>(Tabla29268[[#This Row],[Columna4]]*ET$5/$EH$5)*$EP$4</f>
        <v>#DIV/0!</v>
      </c>
      <c r="EU40" s="303" t="e">
        <f>(Tabla29268[[#This Row],[Columna4]]*EU$5/$EH$5)*$EP$4</f>
        <v>#DIV/0!</v>
      </c>
      <c r="EV40" s="303" t="e">
        <f>(Tabla29268[[#This Row],[Columna4]]*EV$5/$EH$5)*$EP$4</f>
        <v>#DIV/0!</v>
      </c>
      <c r="EW40" s="303" t="e">
        <f>(Tabla29268[[#This Row],[Columna4]]*EW$5/$EH$5)*$EP$4</f>
        <v>#DIV/0!</v>
      </c>
      <c r="EX40" s="303" t="e">
        <f>(Tabla29268[[#This Row],[Columna4]]*EX$5/$EH$5)*$EP$4</f>
        <v>#DIV/0!</v>
      </c>
      <c r="EY40" s="303" t="e">
        <f>(Tabla29268[[#This Row],[Columna4]]*EY$5/$EH$5)*$EP$4</f>
        <v>#DIV/0!</v>
      </c>
      <c r="EZ40" s="303" t="e">
        <f>(Tabla29268[[#This Row],[Columna4]]*EZ$5/$EH$5)*$EP$4</f>
        <v>#DIV/0!</v>
      </c>
      <c r="FA40" s="303" t="e">
        <f>(Tabla29268[[#This Row],[Columna4]]*FA$5/$EH$5)*$EP$4</f>
        <v>#DIV/0!</v>
      </c>
      <c r="FB40" s="303" t="e">
        <f>(Tabla29268[[#This Row],[Columna4]]*FB$5/$EH$5)*$EP$4</f>
        <v>#DIV/0!</v>
      </c>
      <c r="FD40" s="397" t="s">
        <v>39</v>
      </c>
      <c r="FE40" s="399" t="s">
        <v>36</v>
      </c>
      <c r="FF40" s="400">
        <f t="shared" si="212"/>
        <v>0</v>
      </c>
      <c r="FG40" s="400">
        <f t="shared" si="212"/>
        <v>0</v>
      </c>
      <c r="FH40" s="400">
        <f t="shared" si="212"/>
        <v>0</v>
      </c>
      <c r="FI40" s="400">
        <f t="shared" si="212"/>
        <v>0</v>
      </c>
      <c r="FJ40" s="400">
        <f t="shared" si="212"/>
        <v>0</v>
      </c>
      <c r="FK40" s="400">
        <f t="shared" si="212"/>
        <v>0</v>
      </c>
      <c r="FL40" s="400">
        <f t="shared" si="212"/>
        <v>0</v>
      </c>
      <c r="FM40" s="400">
        <f t="shared" si="212"/>
        <v>0</v>
      </c>
      <c r="FN40" s="400">
        <f t="shared" si="212"/>
        <v>0</v>
      </c>
      <c r="FO40" s="400">
        <f t="shared" si="212"/>
        <v>0</v>
      </c>
      <c r="FP40" s="400">
        <f t="shared" si="212"/>
        <v>0</v>
      </c>
      <c r="FQ40" s="400">
        <f t="shared" si="212"/>
        <v>0</v>
      </c>
      <c r="FR40" s="363">
        <f t="shared" si="197"/>
        <v>0</v>
      </c>
      <c r="FS40" s="260" t="e">
        <f t="shared" si="198"/>
        <v>#DIV/0!</v>
      </c>
      <c r="FV40" s="324" t="s">
        <v>18</v>
      </c>
      <c r="FW40" s="325" t="e">
        <f>$FF$380*FW37</f>
        <v>#DIV/0!</v>
      </c>
      <c r="FX40" s="325" t="e">
        <f>$FG$380*FX37</f>
        <v>#DIV/0!</v>
      </c>
      <c r="FY40" s="325" t="e">
        <f>$FH$380*FY37</f>
        <v>#DIV/0!</v>
      </c>
      <c r="FZ40" s="325" t="e">
        <f>$FI$380*FZ37</f>
        <v>#DIV/0!</v>
      </c>
      <c r="GA40" s="325" t="e">
        <f>$FJ$380*GA37</f>
        <v>#DIV/0!</v>
      </c>
      <c r="GB40" s="325" t="e">
        <f>$FK$380*GB37</f>
        <v>#DIV/0!</v>
      </c>
      <c r="GC40" s="325" t="e">
        <f>$FL$380*GC37</f>
        <v>#DIV/0!</v>
      </c>
      <c r="GD40" s="325" t="e">
        <f>$FM$380*GD37</f>
        <v>#DIV/0!</v>
      </c>
      <c r="GE40" s="325" t="e">
        <f>$FN$380*GE37</f>
        <v>#DIV/0!</v>
      </c>
      <c r="GF40" s="325" t="e">
        <f>$FO$380*GF37</f>
        <v>#DIV/0!</v>
      </c>
      <c r="GG40" s="325" t="e">
        <f>$FP$380*GG37</f>
        <v>#DIV/0!</v>
      </c>
      <c r="GH40" s="325" t="e">
        <f>$FQ$380*GH37</f>
        <v>#DIV/0!</v>
      </c>
      <c r="GI40" s="309" t="e">
        <f t="shared" si="219"/>
        <v>#DIV/0!</v>
      </c>
      <c r="GJ40" s="262" t="e">
        <f t="shared" si="222"/>
        <v>#DIV/0!</v>
      </c>
      <c r="GL40" s="250"/>
      <c r="GM40" s="411" t="s">
        <v>481</v>
      </c>
      <c r="GN40" s="415" t="e">
        <f t="shared" ref="GN40:GZ40" si="246">GN7-GN10-GN15-GN19-GN33-GN37</f>
        <v>#DIV/0!</v>
      </c>
      <c r="GO40" s="415" t="e">
        <f t="shared" si="246"/>
        <v>#DIV/0!</v>
      </c>
      <c r="GP40" s="415" t="e">
        <f t="shared" si="246"/>
        <v>#DIV/0!</v>
      </c>
      <c r="GQ40" s="415" t="e">
        <f t="shared" si="246"/>
        <v>#DIV/0!</v>
      </c>
      <c r="GR40" s="415" t="e">
        <f t="shared" si="246"/>
        <v>#DIV/0!</v>
      </c>
      <c r="GS40" s="415" t="e">
        <f t="shared" si="246"/>
        <v>#DIV/0!</v>
      </c>
      <c r="GT40" s="415" t="e">
        <f t="shared" si="246"/>
        <v>#DIV/0!</v>
      </c>
      <c r="GU40" s="415" t="e">
        <f t="shared" si="246"/>
        <v>#DIV/0!</v>
      </c>
      <c r="GV40" s="415" t="e">
        <f t="shared" si="246"/>
        <v>#DIV/0!</v>
      </c>
      <c r="GW40" s="415" t="e">
        <f t="shared" si="246"/>
        <v>#DIV/0!</v>
      </c>
      <c r="GX40" s="415" t="e">
        <f t="shared" si="246"/>
        <v>#DIV/0!</v>
      </c>
      <c r="GY40" s="415" t="e">
        <f t="shared" si="246"/>
        <v>#DIV/0!</v>
      </c>
      <c r="GZ40" s="415" t="e">
        <f t="shared" si="246"/>
        <v>#DIV/0!</v>
      </c>
      <c r="HA40" s="329" t="e">
        <f t="shared" si="55"/>
        <v>#DIV/0!</v>
      </c>
      <c r="HD40" s="65" t="s">
        <v>832</v>
      </c>
      <c r="HE40" s="66">
        <v>0</v>
      </c>
      <c r="HF40" s="67">
        <f t="shared" si="77"/>
        <v>0</v>
      </c>
      <c r="HG40" s="68">
        <f t="shared" si="78"/>
        <v>0</v>
      </c>
      <c r="HH40" s="69">
        <v>1</v>
      </c>
      <c r="HI40" s="367">
        <v>0</v>
      </c>
      <c r="HJ40" s="140"/>
      <c r="HM40" s="283"/>
      <c r="HN40" s="316"/>
      <c r="HO40" s="285"/>
      <c r="HP40" s="316"/>
      <c r="HQ40" s="285"/>
      <c r="HR40" s="316"/>
      <c r="HS40" s="285"/>
      <c r="HT40" s="316"/>
      <c r="HU40" s="285"/>
      <c r="HV40" s="316"/>
      <c r="HW40" s="285"/>
      <c r="HX40" s="316"/>
      <c r="HY40" s="285"/>
      <c r="HZ40" s="316"/>
      <c r="IA40" s="285"/>
      <c r="IB40" s="316"/>
      <c r="IC40" s="285"/>
      <c r="ID40" s="316"/>
      <c r="IE40" s="285"/>
      <c r="IF40" s="316"/>
      <c r="IG40" s="285"/>
      <c r="IH40" s="316"/>
      <c r="II40" s="285"/>
      <c r="IJ40" s="316"/>
      <c r="IK40" s="285"/>
      <c r="IL40" s="288"/>
      <c r="IM40" s="285"/>
    </row>
    <row r="41" spans="2:247" ht="14.4" customHeight="1" x14ac:dyDescent="0.3">
      <c r="C41" s="44" t="s">
        <v>621</v>
      </c>
      <c r="D41" s="15">
        <f>$D$37*B23</f>
        <v>0</v>
      </c>
      <c r="E41" s="15">
        <f t="shared" si="215"/>
        <v>0</v>
      </c>
      <c r="F41" s="15">
        <f t="shared" si="216"/>
        <v>0</v>
      </c>
      <c r="AM41" s="412">
        <f t="shared" si="5"/>
        <v>0</v>
      </c>
      <c r="AN41" s="412">
        <f t="shared" si="6"/>
        <v>0</v>
      </c>
      <c r="AO41" s="412">
        <f t="shared" si="7"/>
        <v>0</v>
      </c>
      <c r="AP41" s="412">
        <f t="shared" si="8"/>
        <v>0</v>
      </c>
      <c r="AQ41" s="413" t="s">
        <v>833</v>
      </c>
      <c r="AR41" s="297">
        <f t="shared" si="9"/>
        <v>0</v>
      </c>
      <c r="AS41" s="414" t="e">
        <f t="shared" si="2"/>
        <v>#DIV/0!</v>
      </c>
      <c r="AT41" s="529"/>
      <c r="AU41" s="529"/>
      <c r="AV41" s="299">
        <v>0</v>
      </c>
      <c r="AW41" s="300">
        <v>0</v>
      </c>
      <c r="AX41" s="301"/>
      <c r="BH41" s="531"/>
      <c r="BI41" s="531"/>
      <c r="BJ41" s="396" t="e">
        <f>$AS$39</f>
        <v>#DIV/0!</v>
      </c>
      <c r="BK41" s="242" t="str">
        <f t="shared" si="19"/>
        <v>C34</v>
      </c>
      <c r="BL41" s="303">
        <f t="shared" si="20"/>
        <v>0</v>
      </c>
      <c r="BM41" s="303">
        <f t="shared" si="20"/>
        <v>0</v>
      </c>
      <c r="BN41" s="303">
        <f t="shared" si="20"/>
        <v>0</v>
      </c>
      <c r="BO41" s="303">
        <f t="shared" si="21"/>
        <v>0</v>
      </c>
      <c r="BP41" s="303">
        <f t="shared" si="22"/>
        <v>0</v>
      </c>
      <c r="BQ41" s="303">
        <f t="shared" si="23"/>
        <v>0</v>
      </c>
      <c r="BR41" s="303">
        <f t="shared" si="24"/>
        <v>0</v>
      </c>
      <c r="BS41" s="303">
        <f t="shared" si="25"/>
        <v>0</v>
      </c>
      <c r="BT41" s="303">
        <f t="shared" si="26"/>
        <v>0</v>
      </c>
      <c r="BU41" s="303">
        <f t="shared" si="27"/>
        <v>0</v>
      </c>
      <c r="BV41" s="303">
        <f t="shared" si="28"/>
        <v>0</v>
      </c>
      <c r="BW41" s="303">
        <f t="shared" si="29"/>
        <v>0</v>
      </c>
      <c r="BX41" s="303">
        <f t="shared" si="30"/>
        <v>0</v>
      </c>
      <c r="BY41" s="303">
        <f t="shared" si="31"/>
        <v>0</v>
      </c>
      <c r="BZ41" s="303">
        <f t="shared" si="32"/>
        <v>0</v>
      </c>
      <c r="CB41" s="531"/>
      <c r="CC41" s="531"/>
      <c r="CD41" s="396" t="e">
        <f>$AS$39</f>
        <v>#DIV/0!</v>
      </c>
      <c r="CE41" s="242" t="str">
        <f>Tabla2[[#This Row],[Columna1]]</f>
        <v>C34</v>
      </c>
      <c r="CF41" s="303">
        <f>Tabla29[[#This Row],[Columna3]]/7</f>
        <v>0</v>
      </c>
      <c r="CG41" s="303">
        <f>Tabla29[[#This Row],[Columna4]]/4.2</f>
        <v>0</v>
      </c>
      <c r="CH41" s="303">
        <f>Tabla2[[#This Row],[Columna16]]</f>
        <v>0</v>
      </c>
      <c r="CI41" s="303" t="e">
        <f>(Tabla29[[#This Row],[Columna4]]*CI$5/$BZ$5)*$CH$4</f>
        <v>#DIV/0!</v>
      </c>
      <c r="CJ41" s="303" t="e">
        <f>(Tabla29[[#This Row],[Columna4]]*CJ$5/$BZ$5)*$CH$4</f>
        <v>#DIV/0!</v>
      </c>
      <c r="CK41" s="303" t="e">
        <f>(Tabla29[[#This Row],[Columna4]]*CK$5/$BZ$5)*$CH$4</f>
        <v>#DIV/0!</v>
      </c>
      <c r="CL41" s="303" t="e">
        <f>(Tabla29[[#This Row],[Columna4]]*CL$5/$BZ$5)*$CH$4</f>
        <v>#DIV/0!</v>
      </c>
      <c r="CM41" s="303" t="e">
        <f>(Tabla29[[#This Row],[Columna4]]*CM$5/$BZ$5)*$CH$4</f>
        <v>#DIV/0!</v>
      </c>
      <c r="CN41" s="303" t="e">
        <f>(Tabla29[[#This Row],[Columna4]]*CN$5/$BZ$5)*$CH$4</f>
        <v>#DIV/0!</v>
      </c>
      <c r="CO41" s="303" t="e">
        <f>(Tabla29[[#This Row],[Columna4]]*CO$5/$BZ$5)*$CH$4</f>
        <v>#DIV/0!</v>
      </c>
      <c r="CP41" s="303" t="e">
        <f>(Tabla29[[#This Row],[Columna4]]*CP$5/$BZ$5)*$CH$4</f>
        <v>#DIV/0!</v>
      </c>
      <c r="CQ41" s="303" t="e">
        <f>(Tabla29[[#This Row],[Columna4]]*CQ$5/$BZ$5)*$CH$4</f>
        <v>#DIV/0!</v>
      </c>
      <c r="CR41" s="303" t="e">
        <f>(Tabla29[[#This Row],[Columna4]]*CR$5/$BZ$5)*$CH$4</f>
        <v>#DIV/0!</v>
      </c>
      <c r="CS41" s="303" t="e">
        <f>(Tabla29[[#This Row],[Columna4]]*CS$5/$BZ$5)*$CH$4</f>
        <v>#DIV/0!</v>
      </c>
      <c r="CT41" s="303" t="e">
        <f>(Tabla29[[#This Row],[Columna4]]*CT$5/$BZ$5)*$CH$4</f>
        <v>#DIV/0!</v>
      </c>
      <c r="CV41" s="531"/>
      <c r="CW41" s="531"/>
      <c r="CX41" s="396" t="e">
        <f>$AS$39</f>
        <v>#DIV/0!</v>
      </c>
      <c r="CY41" s="242" t="str">
        <f>Tabla2[[#This Row],[Columna1]]</f>
        <v>C34</v>
      </c>
      <c r="CZ41" s="303" t="e">
        <f>Tabla292[[#This Row],[Columna3]]/7</f>
        <v>#DIV/0!</v>
      </c>
      <c r="DA41" s="303" t="e">
        <f>Tabla292[[#This Row],[Columna4]]/4.2</f>
        <v>#DIV/0!</v>
      </c>
      <c r="DB41" s="303" t="e">
        <f>Tabla29[[#This Row],[Columna16]]</f>
        <v>#DIV/0!</v>
      </c>
      <c r="DC41" s="303" t="e">
        <f>(Tabla292[[#This Row],[Columna4]]*DC$5/$CT$5)*$DB$4</f>
        <v>#DIV/0!</v>
      </c>
      <c r="DD41" s="303" t="e">
        <f>(Tabla292[[#This Row],[Columna4]]*DD$5/$CT$5)*$DB$4</f>
        <v>#DIV/0!</v>
      </c>
      <c r="DE41" s="303" t="e">
        <f>(Tabla292[[#This Row],[Columna4]]*DE$5/$CT$5)*$DB$4</f>
        <v>#DIV/0!</v>
      </c>
      <c r="DF41" s="303" t="e">
        <f>(Tabla292[[#This Row],[Columna4]]*DF$5/$CT$5)*$DB$4</f>
        <v>#DIV/0!</v>
      </c>
      <c r="DG41" s="303" t="e">
        <f>(Tabla292[[#This Row],[Columna4]]*DG$5/$CT$5)*$DB$4</f>
        <v>#DIV/0!</v>
      </c>
      <c r="DH41" s="303" t="e">
        <f>(Tabla292[[#This Row],[Columna4]]*DH$5/$CT$5)*$DB$4</f>
        <v>#DIV/0!</v>
      </c>
      <c r="DI41" s="303" t="e">
        <f>(Tabla292[[#This Row],[Columna4]]*DI$5/$CT$5)*$DB$4</f>
        <v>#DIV/0!</v>
      </c>
      <c r="DJ41" s="303" t="e">
        <f>(Tabla292[[#This Row],[Columna4]]*DJ$5/$CT$5)*$DB$4</f>
        <v>#DIV/0!</v>
      </c>
      <c r="DK41" s="303" t="e">
        <f>(Tabla292[[#This Row],[Columna4]]*DK$5/$CT$5)*$DB$4</f>
        <v>#DIV/0!</v>
      </c>
      <c r="DL41" s="303" t="e">
        <f>(Tabla292[[#This Row],[Columna4]]*DL$5/$CT$5)*$DB$4</f>
        <v>#DIV/0!</v>
      </c>
      <c r="DM41" s="303" t="e">
        <f>(Tabla292[[#This Row],[Columna4]]*DM$5/$CT$5)*$DB$4</f>
        <v>#DIV/0!</v>
      </c>
      <c r="DN41" s="303" t="e">
        <f>(Tabla292[[#This Row],[Columna4]]*DN$5/$CT$5)*$DB$4</f>
        <v>#DIV/0!</v>
      </c>
      <c r="DP41" s="531"/>
      <c r="DQ41" s="531"/>
      <c r="DR41" s="396" t="e">
        <f>$AS$39</f>
        <v>#DIV/0!</v>
      </c>
      <c r="DS41" s="242" t="str">
        <f>Tabla2[[#This Row],[Columna1]]</f>
        <v>C34</v>
      </c>
      <c r="DT41" s="303" t="e">
        <f>Tabla2926[[#This Row],[Columna3]]/7</f>
        <v>#DIV/0!</v>
      </c>
      <c r="DU41" s="303" t="e">
        <f>Tabla2926[[#This Row],[Columna4]]/4.2</f>
        <v>#DIV/0!</v>
      </c>
      <c r="DV41" s="303" t="e">
        <f>Tabla292[[#This Row],[Columna16]]</f>
        <v>#DIV/0!</v>
      </c>
      <c r="DW41" s="303" t="e">
        <f>(Tabla2926[[#This Row],[Columna4]]*DW$5/$DN$5)*$DV$4</f>
        <v>#DIV/0!</v>
      </c>
      <c r="DX41" s="303" t="e">
        <f>(Tabla2926[[#This Row],[Columna4]]*DX$5/$DN$5)*$DV$4</f>
        <v>#DIV/0!</v>
      </c>
      <c r="DY41" s="303" t="e">
        <f>(Tabla2926[[#This Row],[Columna4]]*DY$5/$DN$5)*$DV$4</f>
        <v>#DIV/0!</v>
      </c>
      <c r="DZ41" s="303" t="e">
        <f>(Tabla2926[[#This Row],[Columna4]]*DZ$5/$DN$5)*$DV$4</f>
        <v>#DIV/0!</v>
      </c>
      <c r="EA41" s="303" t="e">
        <f>(Tabla2926[[#This Row],[Columna4]]*EA$5/$DN$5)*$DV$4</f>
        <v>#DIV/0!</v>
      </c>
      <c r="EB41" s="303" t="e">
        <f>(Tabla2926[[#This Row],[Columna4]]*EB$5/$DN$5)*$DV$4</f>
        <v>#DIV/0!</v>
      </c>
      <c r="EC41" s="303" t="e">
        <f>(Tabla2926[[#This Row],[Columna4]]*EC$5/$DN$5)*$DV$4</f>
        <v>#DIV/0!</v>
      </c>
      <c r="ED41" s="303" t="e">
        <f>(Tabla2926[[#This Row],[Columna4]]*ED$5/$DN$5)*$DV$4</f>
        <v>#DIV/0!</v>
      </c>
      <c r="EE41" s="303" t="e">
        <f>(Tabla2926[[#This Row],[Columna4]]*EE$5/$DN$5)*$DV$4</f>
        <v>#DIV/0!</v>
      </c>
      <c r="EF41" s="303" t="e">
        <f>(Tabla2926[[#This Row],[Columna4]]*EF$5/$DN$5)*$DV$4</f>
        <v>#DIV/0!</v>
      </c>
      <c r="EG41" s="303" t="e">
        <f>(Tabla2926[[#This Row],[Columna4]]*EG$5/$DN$5)*$DV$4</f>
        <v>#DIV/0!</v>
      </c>
      <c r="EH41" s="303" t="e">
        <f>(Tabla2926[[#This Row],[Columna4]]*EH$5/$DN$5)*$DV$4</f>
        <v>#DIV/0!</v>
      </c>
      <c r="EJ41" s="531"/>
      <c r="EK41" s="531"/>
      <c r="EL41" s="396" t="e">
        <f>$AS$39</f>
        <v>#DIV/0!</v>
      </c>
      <c r="EM41" s="242" t="str">
        <f>Tabla2[[#This Row],[Columna1]]</f>
        <v>C34</v>
      </c>
      <c r="EN41" s="303" t="e">
        <f>Tabla29268[[#This Row],[Columna3]]/7</f>
        <v>#DIV/0!</v>
      </c>
      <c r="EO41" s="303" t="e">
        <f>Tabla29268[[#This Row],[Columna4]]/4.2</f>
        <v>#DIV/0!</v>
      </c>
      <c r="EP41" s="303" t="e">
        <f>Tabla2926[[#This Row],[Columna16]]</f>
        <v>#DIV/0!</v>
      </c>
      <c r="EQ41" s="303" t="e">
        <f>(Tabla29268[[#This Row],[Columna4]]*EQ$5/$EH$5)*$EP$4</f>
        <v>#DIV/0!</v>
      </c>
      <c r="ER41" s="303" t="e">
        <f>(Tabla29268[[#This Row],[Columna4]]*ER$5/$EH$5)*$EP$4</f>
        <v>#DIV/0!</v>
      </c>
      <c r="ES41" s="303" t="e">
        <f>(Tabla29268[[#This Row],[Columna4]]*ES$5/$EH$5)*$EP$4</f>
        <v>#DIV/0!</v>
      </c>
      <c r="ET41" s="303" t="e">
        <f>(Tabla29268[[#This Row],[Columna4]]*ET$5/$EH$5)*$EP$4</f>
        <v>#DIV/0!</v>
      </c>
      <c r="EU41" s="303" t="e">
        <f>(Tabla29268[[#This Row],[Columna4]]*EU$5/$EH$5)*$EP$4</f>
        <v>#DIV/0!</v>
      </c>
      <c r="EV41" s="303" t="e">
        <f>(Tabla29268[[#This Row],[Columna4]]*EV$5/$EH$5)*$EP$4</f>
        <v>#DIV/0!</v>
      </c>
      <c r="EW41" s="303" t="e">
        <f>(Tabla29268[[#This Row],[Columna4]]*EW$5/$EH$5)*$EP$4</f>
        <v>#DIV/0!</v>
      </c>
      <c r="EX41" s="303" t="e">
        <f>(Tabla29268[[#This Row],[Columna4]]*EX$5/$EH$5)*$EP$4</f>
        <v>#DIV/0!</v>
      </c>
      <c r="EY41" s="303" t="e">
        <f>(Tabla29268[[#This Row],[Columna4]]*EY$5/$EH$5)*$EP$4</f>
        <v>#DIV/0!</v>
      </c>
      <c r="EZ41" s="303" t="e">
        <f>(Tabla29268[[#This Row],[Columna4]]*EZ$5/$EH$5)*$EP$4</f>
        <v>#DIV/0!</v>
      </c>
      <c r="FA41" s="303" t="e">
        <f>(Tabla29268[[#This Row],[Columna4]]*FA$5/$EH$5)*$EP$4</f>
        <v>#DIV/0!</v>
      </c>
      <c r="FB41" s="303" t="e">
        <f>(Tabla29268[[#This Row],[Columna4]]*FB$5/$EH$5)*$EP$4</f>
        <v>#DIV/0!</v>
      </c>
      <c r="FD41" s="397" t="s">
        <v>41</v>
      </c>
      <c r="FE41" s="399" t="s">
        <v>38</v>
      </c>
      <c r="FF41" s="400" t="e">
        <f t="shared" si="212"/>
        <v>#DIV/0!</v>
      </c>
      <c r="FG41" s="400" t="e">
        <f t="shared" si="212"/>
        <v>#DIV/0!</v>
      </c>
      <c r="FH41" s="400" t="e">
        <f t="shared" si="212"/>
        <v>#DIV/0!</v>
      </c>
      <c r="FI41" s="400" t="e">
        <f t="shared" si="212"/>
        <v>#DIV/0!</v>
      </c>
      <c r="FJ41" s="400" t="e">
        <f t="shared" si="212"/>
        <v>#DIV/0!</v>
      </c>
      <c r="FK41" s="400" t="e">
        <f t="shared" si="212"/>
        <v>#DIV/0!</v>
      </c>
      <c r="FL41" s="400" t="e">
        <f t="shared" si="212"/>
        <v>#DIV/0!</v>
      </c>
      <c r="FM41" s="400" t="e">
        <f t="shared" si="212"/>
        <v>#DIV/0!</v>
      </c>
      <c r="FN41" s="400" t="e">
        <f t="shared" si="212"/>
        <v>#DIV/0!</v>
      </c>
      <c r="FO41" s="400" t="e">
        <f t="shared" si="212"/>
        <v>#DIV/0!</v>
      </c>
      <c r="FP41" s="400" t="e">
        <f t="shared" si="212"/>
        <v>#DIV/0!</v>
      </c>
      <c r="FQ41" s="400" t="e">
        <f t="shared" si="212"/>
        <v>#DIV/0!</v>
      </c>
      <c r="FR41" s="363" t="e">
        <f t="shared" si="197"/>
        <v>#DIV/0!</v>
      </c>
      <c r="FS41" s="260" t="e">
        <f t="shared" si="198"/>
        <v>#DIV/0!</v>
      </c>
      <c r="FV41" s="307" t="s">
        <v>19</v>
      </c>
      <c r="FW41" s="308" t="e">
        <f>FW39-FW40</f>
        <v>#DIV/0!</v>
      </c>
      <c r="FX41" s="308" t="e">
        <f t="shared" ref="FX41:GH41" si="247">FX39-FX40</f>
        <v>#DIV/0!</v>
      </c>
      <c r="FY41" s="308" t="e">
        <f t="shared" si="247"/>
        <v>#DIV/0!</v>
      </c>
      <c r="FZ41" s="308" t="e">
        <f t="shared" si="247"/>
        <v>#DIV/0!</v>
      </c>
      <c r="GA41" s="308" t="e">
        <f t="shared" si="247"/>
        <v>#DIV/0!</v>
      </c>
      <c r="GB41" s="308" t="e">
        <f t="shared" si="247"/>
        <v>#DIV/0!</v>
      </c>
      <c r="GC41" s="308" t="e">
        <f t="shared" si="247"/>
        <v>#DIV/0!</v>
      </c>
      <c r="GD41" s="308" t="e">
        <f t="shared" si="247"/>
        <v>#DIV/0!</v>
      </c>
      <c r="GE41" s="308" t="e">
        <f t="shared" si="247"/>
        <v>#DIV/0!</v>
      </c>
      <c r="GF41" s="308" t="e">
        <f t="shared" si="247"/>
        <v>#DIV/0!</v>
      </c>
      <c r="GG41" s="308" t="e">
        <f t="shared" si="247"/>
        <v>#DIV/0!</v>
      </c>
      <c r="GH41" s="308" t="e">
        <f t="shared" si="247"/>
        <v>#DIV/0!</v>
      </c>
      <c r="GI41" s="309" t="e">
        <f t="shared" si="219"/>
        <v>#DIV/0!</v>
      </c>
      <c r="GJ41" s="262" t="e">
        <f t="shared" si="222"/>
        <v>#DIV/0!</v>
      </c>
      <c r="GZ41" s="416"/>
      <c r="HD41" s="65" t="s">
        <v>834</v>
      </c>
      <c r="HE41" s="66">
        <v>0</v>
      </c>
      <c r="HF41" s="67">
        <f t="shared" si="77"/>
        <v>0</v>
      </c>
      <c r="HG41" s="68">
        <f t="shared" si="78"/>
        <v>0</v>
      </c>
      <c r="HH41" s="69">
        <v>1</v>
      </c>
      <c r="HI41" s="367">
        <v>0</v>
      </c>
      <c r="HJ41" s="140"/>
      <c r="HM41" s="283" t="s">
        <v>264</v>
      </c>
      <c r="HN41" s="316" t="e">
        <f>MAX(HN39*30%,HN13*1%)</f>
        <v>#DIV/0!</v>
      </c>
      <c r="HO41" s="354" t="e">
        <f>HN41/HN$9</f>
        <v>#DIV/0!</v>
      </c>
      <c r="HP41" s="316" t="e">
        <f>MAX(HP39*30%,HP13*1%)</f>
        <v>#DIV/0!</v>
      </c>
      <c r="HQ41" s="354" t="e">
        <f>HP41/HP$9</f>
        <v>#DIV/0!</v>
      </c>
      <c r="HR41" s="316" t="e">
        <f>MAX(HR39*30%,HR13*1%)</f>
        <v>#DIV/0!</v>
      </c>
      <c r="HS41" s="354" t="e">
        <f>HR41/HR$9</f>
        <v>#DIV/0!</v>
      </c>
      <c r="HT41" s="316" t="e">
        <f>MAX(HT39*30%,HT13*1%)</f>
        <v>#DIV/0!</v>
      </c>
      <c r="HU41" s="354" t="e">
        <f>HT41/HT$9</f>
        <v>#DIV/0!</v>
      </c>
      <c r="HV41" s="316" t="e">
        <f>MAX(HV39*30%,HV13*1%)</f>
        <v>#DIV/0!</v>
      </c>
      <c r="HW41" s="354" t="e">
        <f>HV41/HV$9</f>
        <v>#DIV/0!</v>
      </c>
      <c r="HX41" s="316" t="e">
        <f>MAX(HX39*30%,HX13*1%)</f>
        <v>#DIV/0!</v>
      </c>
      <c r="HY41" s="354" t="e">
        <f>HX41/HX$9</f>
        <v>#DIV/0!</v>
      </c>
      <c r="HZ41" s="316" t="e">
        <f>MAX(HZ39*30%,HZ13*1%)</f>
        <v>#DIV/0!</v>
      </c>
      <c r="IA41" s="354" t="e">
        <f>HZ41/HZ$9</f>
        <v>#DIV/0!</v>
      </c>
      <c r="IB41" s="316" t="e">
        <f>MAX(IB39*30%,IB13*1%)</f>
        <v>#DIV/0!</v>
      </c>
      <c r="IC41" s="354" t="e">
        <f>IB41/IB$9</f>
        <v>#DIV/0!</v>
      </c>
      <c r="ID41" s="316" t="e">
        <f>MAX(ID39*30%,ID13*1%)</f>
        <v>#DIV/0!</v>
      </c>
      <c r="IE41" s="354" t="e">
        <f>ID41/ID$9</f>
        <v>#DIV/0!</v>
      </c>
      <c r="IF41" s="316" t="e">
        <f>MAX(IF39*30%,IF13*1%)</f>
        <v>#DIV/0!</v>
      </c>
      <c r="IG41" s="354" t="e">
        <f>IF41/IF$9</f>
        <v>#DIV/0!</v>
      </c>
      <c r="IH41" s="316" t="e">
        <f>MAX(IH39*30%,IH13*1%)</f>
        <v>#DIV/0!</v>
      </c>
      <c r="II41" s="354" t="e">
        <f>IH41/IH$9</f>
        <v>#DIV/0!</v>
      </c>
      <c r="IJ41" s="316" t="e">
        <f>MAX(IJ39*30%,IJ13*1%)</f>
        <v>#DIV/0!</v>
      </c>
      <c r="IK41" s="354" t="e">
        <f>IJ41/IJ$9</f>
        <v>#DIV/0!</v>
      </c>
      <c r="IL41" s="333" t="e">
        <f>MAX(IL39*30%,IL13*1%)</f>
        <v>#DIV/0!</v>
      </c>
      <c r="IM41" s="354" t="e">
        <f>IL41/IL$9</f>
        <v>#DIV/0!</v>
      </c>
    </row>
    <row r="42" spans="2:247" ht="14.4" customHeight="1" x14ac:dyDescent="0.3">
      <c r="C42" s="44" t="s">
        <v>366</v>
      </c>
      <c r="D42" s="47" t="e">
        <f>D37/D43</f>
        <v>#DIV/0!</v>
      </c>
      <c r="AM42" s="412">
        <f t="shared" si="5"/>
        <v>0</v>
      </c>
      <c r="AN42" s="412">
        <f t="shared" si="6"/>
        <v>0</v>
      </c>
      <c r="AO42" s="412">
        <f t="shared" si="7"/>
        <v>0</v>
      </c>
      <c r="AP42" s="412">
        <f t="shared" si="8"/>
        <v>0</v>
      </c>
      <c r="AQ42" s="413" t="s">
        <v>835</v>
      </c>
      <c r="AR42" s="297">
        <f t="shared" si="9"/>
        <v>0</v>
      </c>
      <c r="AS42" s="414" t="e">
        <f t="shared" si="2"/>
        <v>#DIV/0!</v>
      </c>
      <c r="AT42" s="529"/>
      <c r="AU42" s="529"/>
      <c r="AV42" s="299">
        <v>0</v>
      </c>
      <c r="AW42" s="300">
        <v>0</v>
      </c>
      <c r="AX42" s="301"/>
      <c r="BH42" s="529" t="s">
        <v>335</v>
      </c>
      <c r="BI42" s="529" t="e">
        <f>SUM(BJ42:BJ50)</f>
        <v>#DIV/0!</v>
      </c>
      <c r="BJ42" s="414" t="e">
        <f>$AS$40</f>
        <v>#DIV/0!</v>
      </c>
      <c r="BK42" s="242" t="str">
        <f t="shared" si="19"/>
        <v>C35</v>
      </c>
      <c r="BL42" s="303">
        <f t="shared" si="20"/>
        <v>0</v>
      </c>
      <c r="BM42" s="303">
        <f t="shared" si="20"/>
        <v>0</v>
      </c>
      <c r="BN42" s="303">
        <f t="shared" si="20"/>
        <v>0</v>
      </c>
      <c r="BO42" s="303">
        <f t="shared" si="21"/>
        <v>0</v>
      </c>
      <c r="BP42" s="303">
        <f t="shared" si="22"/>
        <v>0</v>
      </c>
      <c r="BQ42" s="303">
        <f t="shared" si="23"/>
        <v>0</v>
      </c>
      <c r="BR42" s="303">
        <f t="shared" si="24"/>
        <v>0</v>
      </c>
      <c r="BS42" s="303">
        <f t="shared" si="25"/>
        <v>0</v>
      </c>
      <c r="BT42" s="303">
        <f t="shared" si="26"/>
        <v>0</v>
      </c>
      <c r="BU42" s="303">
        <f t="shared" si="27"/>
        <v>0</v>
      </c>
      <c r="BV42" s="303">
        <f t="shared" si="28"/>
        <v>0</v>
      </c>
      <c r="BW42" s="303">
        <f t="shared" si="29"/>
        <v>0</v>
      </c>
      <c r="BX42" s="303">
        <f t="shared" si="30"/>
        <v>0</v>
      </c>
      <c r="BY42" s="303">
        <f t="shared" si="31"/>
        <v>0</v>
      </c>
      <c r="BZ42" s="303">
        <f t="shared" si="32"/>
        <v>0</v>
      </c>
      <c r="CB42" s="529" t="s">
        <v>335</v>
      </c>
      <c r="CC42" s="529" t="e">
        <f>SUM(CD42:CD50)</f>
        <v>#DIV/0!</v>
      </c>
      <c r="CD42" s="414" t="e">
        <f>$AS$40</f>
        <v>#DIV/0!</v>
      </c>
      <c r="CE42" s="242" t="str">
        <f>Tabla2[[#This Row],[Columna1]]</f>
        <v>C35</v>
      </c>
      <c r="CF42" s="303">
        <f>Tabla29[[#This Row],[Columna3]]/7</f>
        <v>0</v>
      </c>
      <c r="CG42" s="303">
        <f>Tabla29[[#This Row],[Columna4]]/4.2</f>
        <v>0</v>
      </c>
      <c r="CH42" s="303">
        <f>Tabla2[[#This Row],[Columna16]]</f>
        <v>0</v>
      </c>
      <c r="CI42" s="303" t="e">
        <f>(Tabla29[[#This Row],[Columna4]]*CI$5/$BZ$5)*$CH$4</f>
        <v>#DIV/0!</v>
      </c>
      <c r="CJ42" s="303" t="e">
        <f>(Tabla29[[#This Row],[Columna4]]*CJ$5/$BZ$5)*$CH$4</f>
        <v>#DIV/0!</v>
      </c>
      <c r="CK42" s="303" t="e">
        <f>(Tabla29[[#This Row],[Columna4]]*CK$5/$BZ$5)*$CH$4</f>
        <v>#DIV/0!</v>
      </c>
      <c r="CL42" s="303" t="e">
        <f>(Tabla29[[#This Row],[Columna4]]*CL$5/$BZ$5)*$CH$4</f>
        <v>#DIV/0!</v>
      </c>
      <c r="CM42" s="303" t="e">
        <f>(Tabla29[[#This Row],[Columna4]]*CM$5/$BZ$5)*$CH$4</f>
        <v>#DIV/0!</v>
      </c>
      <c r="CN42" s="303" t="e">
        <f>(Tabla29[[#This Row],[Columna4]]*CN$5/$BZ$5)*$CH$4</f>
        <v>#DIV/0!</v>
      </c>
      <c r="CO42" s="303" t="e">
        <f>(Tabla29[[#This Row],[Columna4]]*CO$5/$BZ$5)*$CH$4</f>
        <v>#DIV/0!</v>
      </c>
      <c r="CP42" s="303" t="e">
        <f>(Tabla29[[#This Row],[Columna4]]*CP$5/$BZ$5)*$CH$4</f>
        <v>#DIV/0!</v>
      </c>
      <c r="CQ42" s="303" t="e">
        <f>(Tabla29[[#This Row],[Columna4]]*CQ$5/$BZ$5)*$CH$4</f>
        <v>#DIV/0!</v>
      </c>
      <c r="CR42" s="303" t="e">
        <f>(Tabla29[[#This Row],[Columna4]]*CR$5/$BZ$5)*$CH$4</f>
        <v>#DIV/0!</v>
      </c>
      <c r="CS42" s="303" t="e">
        <f>(Tabla29[[#This Row],[Columna4]]*CS$5/$BZ$5)*$CH$4</f>
        <v>#DIV/0!</v>
      </c>
      <c r="CT42" s="303" t="e">
        <f>(Tabla29[[#This Row],[Columna4]]*CT$5/$BZ$5)*$CH$4</f>
        <v>#DIV/0!</v>
      </c>
      <c r="CV42" s="529" t="s">
        <v>335</v>
      </c>
      <c r="CW42" s="529" t="e">
        <f>SUM(CX42:CX50)</f>
        <v>#DIV/0!</v>
      </c>
      <c r="CX42" s="414" t="e">
        <f>$AS$40</f>
        <v>#DIV/0!</v>
      </c>
      <c r="CY42" s="242" t="str">
        <f>Tabla2[[#This Row],[Columna1]]</f>
        <v>C35</v>
      </c>
      <c r="CZ42" s="303" t="e">
        <f>Tabla292[[#This Row],[Columna3]]/7</f>
        <v>#DIV/0!</v>
      </c>
      <c r="DA42" s="303" t="e">
        <f>Tabla292[[#This Row],[Columna4]]/4.2</f>
        <v>#DIV/0!</v>
      </c>
      <c r="DB42" s="303" t="e">
        <f>Tabla29[[#This Row],[Columna16]]</f>
        <v>#DIV/0!</v>
      </c>
      <c r="DC42" s="303" t="e">
        <f>(Tabla292[[#This Row],[Columna4]]*DC$5/$CT$5)*$DB$4</f>
        <v>#DIV/0!</v>
      </c>
      <c r="DD42" s="303" t="e">
        <f>(Tabla292[[#This Row],[Columna4]]*DD$5/$CT$5)*$DB$4</f>
        <v>#DIV/0!</v>
      </c>
      <c r="DE42" s="303" t="e">
        <f>(Tabla292[[#This Row],[Columna4]]*DE$5/$CT$5)*$DB$4</f>
        <v>#DIV/0!</v>
      </c>
      <c r="DF42" s="303" t="e">
        <f>(Tabla292[[#This Row],[Columna4]]*DF$5/$CT$5)*$DB$4</f>
        <v>#DIV/0!</v>
      </c>
      <c r="DG42" s="303" t="e">
        <f>(Tabla292[[#This Row],[Columna4]]*DG$5/$CT$5)*$DB$4</f>
        <v>#DIV/0!</v>
      </c>
      <c r="DH42" s="303" t="e">
        <f>(Tabla292[[#This Row],[Columna4]]*DH$5/$CT$5)*$DB$4</f>
        <v>#DIV/0!</v>
      </c>
      <c r="DI42" s="303" t="e">
        <f>(Tabla292[[#This Row],[Columna4]]*DI$5/$CT$5)*$DB$4</f>
        <v>#DIV/0!</v>
      </c>
      <c r="DJ42" s="303" t="e">
        <f>(Tabla292[[#This Row],[Columna4]]*DJ$5/$CT$5)*$DB$4</f>
        <v>#DIV/0!</v>
      </c>
      <c r="DK42" s="303" t="e">
        <f>(Tabla292[[#This Row],[Columna4]]*DK$5/$CT$5)*$DB$4</f>
        <v>#DIV/0!</v>
      </c>
      <c r="DL42" s="303" t="e">
        <f>(Tabla292[[#This Row],[Columna4]]*DL$5/$CT$5)*$DB$4</f>
        <v>#DIV/0!</v>
      </c>
      <c r="DM42" s="303" t="e">
        <f>(Tabla292[[#This Row],[Columna4]]*DM$5/$CT$5)*$DB$4</f>
        <v>#DIV/0!</v>
      </c>
      <c r="DN42" s="303" t="e">
        <f>(Tabla292[[#This Row],[Columna4]]*DN$5/$CT$5)*$DB$4</f>
        <v>#DIV/0!</v>
      </c>
      <c r="DP42" s="529" t="s">
        <v>335</v>
      </c>
      <c r="DQ42" s="529" t="e">
        <f>SUM(DR42:DR50)</f>
        <v>#DIV/0!</v>
      </c>
      <c r="DR42" s="414" t="e">
        <f>$AS$40</f>
        <v>#DIV/0!</v>
      </c>
      <c r="DS42" s="242" t="str">
        <f>Tabla2[[#This Row],[Columna1]]</f>
        <v>C35</v>
      </c>
      <c r="DT42" s="303" t="e">
        <f>Tabla2926[[#This Row],[Columna3]]/7</f>
        <v>#DIV/0!</v>
      </c>
      <c r="DU42" s="303" t="e">
        <f>Tabla2926[[#This Row],[Columna4]]/4.2</f>
        <v>#DIV/0!</v>
      </c>
      <c r="DV42" s="303" t="e">
        <f>Tabla292[[#This Row],[Columna16]]</f>
        <v>#DIV/0!</v>
      </c>
      <c r="DW42" s="303" t="e">
        <f>(Tabla2926[[#This Row],[Columna4]]*DW$5/$DN$5)*$DV$4</f>
        <v>#DIV/0!</v>
      </c>
      <c r="DX42" s="303" t="e">
        <f>(Tabla2926[[#This Row],[Columna4]]*DX$5/$DN$5)*$DV$4</f>
        <v>#DIV/0!</v>
      </c>
      <c r="DY42" s="303" t="e">
        <f>(Tabla2926[[#This Row],[Columna4]]*DY$5/$DN$5)*$DV$4</f>
        <v>#DIV/0!</v>
      </c>
      <c r="DZ42" s="303" t="e">
        <f>(Tabla2926[[#This Row],[Columna4]]*DZ$5/$DN$5)*$DV$4</f>
        <v>#DIV/0!</v>
      </c>
      <c r="EA42" s="303" t="e">
        <f>(Tabla2926[[#This Row],[Columna4]]*EA$5/$DN$5)*$DV$4</f>
        <v>#DIV/0!</v>
      </c>
      <c r="EB42" s="303" t="e">
        <f>(Tabla2926[[#This Row],[Columna4]]*EB$5/$DN$5)*$DV$4</f>
        <v>#DIV/0!</v>
      </c>
      <c r="EC42" s="303" t="e">
        <f>(Tabla2926[[#This Row],[Columna4]]*EC$5/$DN$5)*$DV$4</f>
        <v>#DIV/0!</v>
      </c>
      <c r="ED42" s="303" t="e">
        <f>(Tabla2926[[#This Row],[Columna4]]*ED$5/$DN$5)*$DV$4</f>
        <v>#DIV/0!</v>
      </c>
      <c r="EE42" s="303" t="e">
        <f>(Tabla2926[[#This Row],[Columna4]]*EE$5/$DN$5)*$DV$4</f>
        <v>#DIV/0!</v>
      </c>
      <c r="EF42" s="303" t="e">
        <f>(Tabla2926[[#This Row],[Columna4]]*EF$5/$DN$5)*$DV$4</f>
        <v>#DIV/0!</v>
      </c>
      <c r="EG42" s="303" t="e">
        <f>(Tabla2926[[#This Row],[Columna4]]*EG$5/$DN$5)*$DV$4</f>
        <v>#DIV/0!</v>
      </c>
      <c r="EH42" s="303" t="e">
        <f>(Tabla2926[[#This Row],[Columna4]]*EH$5/$DN$5)*$DV$4</f>
        <v>#DIV/0!</v>
      </c>
      <c r="EJ42" s="529" t="s">
        <v>335</v>
      </c>
      <c r="EK42" s="529" t="e">
        <f>SUM(EL42:EL50)</f>
        <v>#DIV/0!</v>
      </c>
      <c r="EL42" s="414" t="e">
        <f>$AS$40</f>
        <v>#DIV/0!</v>
      </c>
      <c r="EM42" s="242" t="str">
        <f>Tabla2[[#This Row],[Columna1]]</f>
        <v>C35</v>
      </c>
      <c r="EN42" s="303" t="e">
        <f>Tabla29268[[#This Row],[Columna3]]/7</f>
        <v>#DIV/0!</v>
      </c>
      <c r="EO42" s="303" t="e">
        <f>Tabla29268[[#This Row],[Columna4]]/4.2</f>
        <v>#DIV/0!</v>
      </c>
      <c r="EP42" s="303" t="e">
        <f>Tabla2926[[#This Row],[Columna16]]</f>
        <v>#DIV/0!</v>
      </c>
      <c r="EQ42" s="303" t="e">
        <f>(Tabla29268[[#This Row],[Columna4]]*EQ$5/$EH$5)*$EP$4</f>
        <v>#DIV/0!</v>
      </c>
      <c r="ER42" s="303" t="e">
        <f>(Tabla29268[[#This Row],[Columna4]]*ER$5/$EH$5)*$EP$4</f>
        <v>#DIV/0!</v>
      </c>
      <c r="ES42" s="303" t="e">
        <f>(Tabla29268[[#This Row],[Columna4]]*ES$5/$EH$5)*$EP$4</f>
        <v>#DIV/0!</v>
      </c>
      <c r="ET42" s="303" t="e">
        <f>(Tabla29268[[#This Row],[Columna4]]*ET$5/$EH$5)*$EP$4</f>
        <v>#DIV/0!</v>
      </c>
      <c r="EU42" s="303" t="e">
        <f>(Tabla29268[[#This Row],[Columna4]]*EU$5/$EH$5)*$EP$4</f>
        <v>#DIV/0!</v>
      </c>
      <c r="EV42" s="303" t="e">
        <f>(Tabla29268[[#This Row],[Columna4]]*EV$5/$EH$5)*$EP$4</f>
        <v>#DIV/0!</v>
      </c>
      <c r="EW42" s="303" t="e">
        <f>(Tabla29268[[#This Row],[Columna4]]*EW$5/$EH$5)*$EP$4</f>
        <v>#DIV/0!</v>
      </c>
      <c r="EX42" s="303" t="e">
        <f>(Tabla29268[[#This Row],[Columna4]]*EX$5/$EH$5)*$EP$4</f>
        <v>#DIV/0!</v>
      </c>
      <c r="EY42" s="303" t="e">
        <f>(Tabla29268[[#This Row],[Columna4]]*EY$5/$EH$5)*$EP$4</f>
        <v>#DIV/0!</v>
      </c>
      <c r="EZ42" s="303" t="e">
        <f>(Tabla29268[[#This Row],[Columna4]]*EZ$5/$EH$5)*$EP$4</f>
        <v>#DIV/0!</v>
      </c>
      <c r="FA42" s="303" t="e">
        <f>(Tabla29268[[#This Row],[Columna4]]*FA$5/$EH$5)*$EP$4</f>
        <v>#DIV/0!</v>
      </c>
      <c r="FB42" s="303" t="e">
        <f>(Tabla29268[[#This Row],[Columna4]]*FB$5/$EH$5)*$EP$4</f>
        <v>#DIV/0!</v>
      </c>
      <c r="FD42" s="397" t="s">
        <v>43</v>
      </c>
      <c r="FE42" s="399" t="s">
        <v>40</v>
      </c>
      <c r="FF42" s="400">
        <f t="shared" si="212"/>
        <v>0</v>
      </c>
      <c r="FG42" s="400">
        <f t="shared" si="212"/>
        <v>0</v>
      </c>
      <c r="FH42" s="400">
        <f t="shared" si="212"/>
        <v>0</v>
      </c>
      <c r="FI42" s="400">
        <f t="shared" si="212"/>
        <v>0</v>
      </c>
      <c r="FJ42" s="400">
        <f t="shared" si="212"/>
        <v>0</v>
      </c>
      <c r="FK42" s="400">
        <f t="shared" si="212"/>
        <v>0</v>
      </c>
      <c r="FL42" s="400">
        <f t="shared" si="212"/>
        <v>0</v>
      </c>
      <c r="FM42" s="400">
        <f t="shared" si="212"/>
        <v>0</v>
      </c>
      <c r="FN42" s="400">
        <f t="shared" si="212"/>
        <v>0</v>
      </c>
      <c r="FO42" s="400">
        <f t="shared" si="212"/>
        <v>0</v>
      </c>
      <c r="FP42" s="400">
        <f t="shared" si="212"/>
        <v>0</v>
      </c>
      <c r="FQ42" s="400">
        <f t="shared" si="212"/>
        <v>0</v>
      </c>
      <c r="FR42" s="363">
        <f t="shared" si="197"/>
        <v>0</v>
      </c>
      <c r="FS42" s="260" t="e">
        <f t="shared" si="198"/>
        <v>#DIV/0!</v>
      </c>
      <c r="FX42" s="351"/>
      <c r="FY42" s="351"/>
      <c r="FZ42" s="351"/>
      <c r="GA42" s="351"/>
      <c r="GB42" s="351"/>
      <c r="GC42" s="351"/>
      <c r="GD42" s="351"/>
      <c r="GE42" s="351"/>
      <c r="GF42" s="351"/>
      <c r="GG42" s="351"/>
      <c r="GH42" s="351"/>
      <c r="GJ42" s="262"/>
      <c r="HD42" s="65" t="s">
        <v>836</v>
      </c>
      <c r="HE42" s="66">
        <v>0</v>
      </c>
      <c r="HF42" s="67">
        <f t="shared" si="77"/>
        <v>0</v>
      </c>
      <c r="HG42" s="68">
        <f t="shared" si="78"/>
        <v>0</v>
      </c>
      <c r="HH42" s="69">
        <v>1</v>
      </c>
      <c r="HI42" s="367">
        <v>0</v>
      </c>
      <c r="HJ42" s="140"/>
      <c r="HM42" s="283"/>
      <c r="HN42" s="316"/>
      <c r="HO42" s="285"/>
      <c r="HP42" s="316"/>
      <c r="HQ42" s="285"/>
      <c r="HR42" s="316"/>
      <c r="HS42" s="285"/>
      <c r="HT42" s="316"/>
      <c r="HU42" s="285"/>
      <c r="HV42" s="316"/>
      <c r="HW42" s="285"/>
      <c r="HX42" s="316"/>
      <c r="HY42" s="285"/>
      <c r="HZ42" s="316"/>
      <c r="IA42" s="285"/>
      <c r="IB42" s="316"/>
      <c r="IC42" s="285"/>
      <c r="ID42" s="316"/>
      <c r="IE42" s="285"/>
      <c r="IF42" s="316"/>
      <c r="IG42" s="285"/>
      <c r="IH42" s="316"/>
      <c r="II42" s="285"/>
      <c r="IJ42" s="316"/>
      <c r="IK42" s="285"/>
      <c r="IL42" s="288"/>
      <c r="IM42" s="285"/>
    </row>
    <row r="43" spans="2:247" ht="14.4" customHeight="1" x14ac:dyDescent="0.3">
      <c r="C43" s="44" t="s">
        <v>369</v>
      </c>
      <c r="D43" s="46">
        <f>D37*3000%</f>
        <v>0</v>
      </c>
      <c r="AM43" s="412">
        <f t="shared" si="5"/>
        <v>0</v>
      </c>
      <c r="AN43" s="412">
        <f t="shared" si="6"/>
        <v>0</v>
      </c>
      <c r="AO43" s="412">
        <f t="shared" si="7"/>
        <v>0</v>
      </c>
      <c r="AP43" s="412">
        <f t="shared" si="8"/>
        <v>0</v>
      </c>
      <c r="AQ43" s="413" t="s">
        <v>837</v>
      </c>
      <c r="AR43" s="297">
        <f t="shared" si="9"/>
        <v>0</v>
      </c>
      <c r="AS43" s="414" t="e">
        <f t="shared" si="2"/>
        <v>#DIV/0!</v>
      </c>
      <c r="AT43" s="529"/>
      <c r="AU43" s="529"/>
      <c r="AV43" s="299">
        <v>0</v>
      </c>
      <c r="AW43" s="300">
        <v>0</v>
      </c>
      <c r="AX43" s="301"/>
      <c r="BH43" s="529"/>
      <c r="BI43" s="529"/>
      <c r="BJ43" s="414" t="e">
        <f>$AS$41</f>
        <v>#DIV/0!</v>
      </c>
      <c r="BK43" s="242" t="str">
        <f t="shared" si="19"/>
        <v>C36</v>
      </c>
      <c r="BL43" s="303">
        <f t="shared" si="20"/>
        <v>0</v>
      </c>
      <c r="BM43" s="303">
        <f t="shared" si="20"/>
        <v>0</v>
      </c>
      <c r="BN43" s="303">
        <f t="shared" si="20"/>
        <v>0</v>
      </c>
      <c r="BO43" s="303">
        <f t="shared" si="21"/>
        <v>0</v>
      </c>
      <c r="BP43" s="303">
        <f t="shared" si="22"/>
        <v>0</v>
      </c>
      <c r="BQ43" s="303">
        <f t="shared" si="23"/>
        <v>0</v>
      </c>
      <c r="BR43" s="303">
        <f t="shared" si="24"/>
        <v>0</v>
      </c>
      <c r="BS43" s="303">
        <f t="shared" si="25"/>
        <v>0</v>
      </c>
      <c r="BT43" s="303">
        <f t="shared" si="26"/>
        <v>0</v>
      </c>
      <c r="BU43" s="303">
        <f t="shared" si="27"/>
        <v>0</v>
      </c>
      <c r="BV43" s="303">
        <f t="shared" si="28"/>
        <v>0</v>
      </c>
      <c r="BW43" s="303">
        <f t="shared" si="29"/>
        <v>0</v>
      </c>
      <c r="BX43" s="303">
        <f t="shared" si="30"/>
        <v>0</v>
      </c>
      <c r="BY43" s="303">
        <f t="shared" si="31"/>
        <v>0</v>
      </c>
      <c r="BZ43" s="303">
        <f t="shared" si="32"/>
        <v>0</v>
      </c>
      <c r="CB43" s="529"/>
      <c r="CC43" s="529"/>
      <c r="CD43" s="414" t="e">
        <f>$AS$41</f>
        <v>#DIV/0!</v>
      </c>
      <c r="CE43" s="242" t="str">
        <f>Tabla2[[#This Row],[Columna1]]</f>
        <v>C36</v>
      </c>
      <c r="CF43" s="303">
        <f>Tabla29[[#This Row],[Columna3]]/7</f>
        <v>0</v>
      </c>
      <c r="CG43" s="303">
        <f>Tabla29[[#This Row],[Columna4]]/4.2</f>
        <v>0</v>
      </c>
      <c r="CH43" s="303">
        <f>Tabla2[[#This Row],[Columna16]]</f>
        <v>0</v>
      </c>
      <c r="CI43" s="303" t="e">
        <f>(Tabla29[[#This Row],[Columna4]]*CI$5/$BZ$5)*$CH$4</f>
        <v>#DIV/0!</v>
      </c>
      <c r="CJ43" s="303" t="e">
        <f>(Tabla29[[#This Row],[Columna4]]*CJ$5/$BZ$5)*$CH$4</f>
        <v>#DIV/0!</v>
      </c>
      <c r="CK43" s="303" t="e">
        <f>(Tabla29[[#This Row],[Columna4]]*CK$5/$BZ$5)*$CH$4</f>
        <v>#DIV/0!</v>
      </c>
      <c r="CL43" s="303" t="e">
        <f>(Tabla29[[#This Row],[Columna4]]*CL$5/$BZ$5)*$CH$4</f>
        <v>#DIV/0!</v>
      </c>
      <c r="CM43" s="303" t="e">
        <f>(Tabla29[[#This Row],[Columna4]]*CM$5/$BZ$5)*$CH$4</f>
        <v>#DIV/0!</v>
      </c>
      <c r="CN43" s="303" t="e">
        <f>(Tabla29[[#This Row],[Columna4]]*CN$5/$BZ$5)*$CH$4</f>
        <v>#DIV/0!</v>
      </c>
      <c r="CO43" s="303" t="e">
        <f>(Tabla29[[#This Row],[Columna4]]*CO$5/$BZ$5)*$CH$4</f>
        <v>#DIV/0!</v>
      </c>
      <c r="CP43" s="303" t="e">
        <f>(Tabla29[[#This Row],[Columna4]]*CP$5/$BZ$5)*$CH$4</f>
        <v>#DIV/0!</v>
      </c>
      <c r="CQ43" s="303" t="e">
        <f>(Tabla29[[#This Row],[Columna4]]*CQ$5/$BZ$5)*$CH$4</f>
        <v>#DIV/0!</v>
      </c>
      <c r="CR43" s="303" t="e">
        <f>(Tabla29[[#This Row],[Columna4]]*CR$5/$BZ$5)*$CH$4</f>
        <v>#DIV/0!</v>
      </c>
      <c r="CS43" s="303" t="e">
        <f>(Tabla29[[#This Row],[Columna4]]*CS$5/$BZ$5)*$CH$4</f>
        <v>#DIV/0!</v>
      </c>
      <c r="CT43" s="303" t="e">
        <f>(Tabla29[[#This Row],[Columna4]]*CT$5/$BZ$5)*$CH$4</f>
        <v>#DIV/0!</v>
      </c>
      <c r="CV43" s="529"/>
      <c r="CW43" s="529"/>
      <c r="CX43" s="414" t="e">
        <f>$AS$41</f>
        <v>#DIV/0!</v>
      </c>
      <c r="CY43" s="242" t="str">
        <f>Tabla2[[#This Row],[Columna1]]</f>
        <v>C36</v>
      </c>
      <c r="CZ43" s="303" t="e">
        <f>Tabla292[[#This Row],[Columna3]]/7</f>
        <v>#DIV/0!</v>
      </c>
      <c r="DA43" s="303" t="e">
        <f>Tabla292[[#This Row],[Columna4]]/4.2</f>
        <v>#DIV/0!</v>
      </c>
      <c r="DB43" s="303" t="e">
        <f>Tabla29[[#This Row],[Columna16]]</f>
        <v>#DIV/0!</v>
      </c>
      <c r="DC43" s="303" t="e">
        <f>(Tabla292[[#This Row],[Columna4]]*DC$5/$CT$5)*$DB$4</f>
        <v>#DIV/0!</v>
      </c>
      <c r="DD43" s="303" t="e">
        <f>(Tabla292[[#This Row],[Columna4]]*DD$5/$CT$5)*$DB$4</f>
        <v>#DIV/0!</v>
      </c>
      <c r="DE43" s="303" t="e">
        <f>(Tabla292[[#This Row],[Columna4]]*DE$5/$CT$5)*$DB$4</f>
        <v>#DIV/0!</v>
      </c>
      <c r="DF43" s="303" t="e">
        <f>(Tabla292[[#This Row],[Columna4]]*DF$5/$CT$5)*$DB$4</f>
        <v>#DIV/0!</v>
      </c>
      <c r="DG43" s="303" t="e">
        <f>(Tabla292[[#This Row],[Columna4]]*DG$5/$CT$5)*$DB$4</f>
        <v>#DIV/0!</v>
      </c>
      <c r="DH43" s="303" t="e">
        <f>(Tabla292[[#This Row],[Columna4]]*DH$5/$CT$5)*$DB$4</f>
        <v>#DIV/0!</v>
      </c>
      <c r="DI43" s="303" t="e">
        <f>(Tabla292[[#This Row],[Columna4]]*DI$5/$CT$5)*$DB$4</f>
        <v>#DIV/0!</v>
      </c>
      <c r="DJ43" s="303" t="e">
        <f>(Tabla292[[#This Row],[Columna4]]*DJ$5/$CT$5)*$DB$4</f>
        <v>#DIV/0!</v>
      </c>
      <c r="DK43" s="303" t="e">
        <f>(Tabla292[[#This Row],[Columna4]]*DK$5/$CT$5)*$DB$4</f>
        <v>#DIV/0!</v>
      </c>
      <c r="DL43" s="303" t="e">
        <f>(Tabla292[[#This Row],[Columna4]]*DL$5/$CT$5)*$DB$4</f>
        <v>#DIV/0!</v>
      </c>
      <c r="DM43" s="303" t="e">
        <f>(Tabla292[[#This Row],[Columna4]]*DM$5/$CT$5)*$DB$4</f>
        <v>#DIV/0!</v>
      </c>
      <c r="DN43" s="303" t="e">
        <f>(Tabla292[[#This Row],[Columna4]]*DN$5/$CT$5)*$DB$4</f>
        <v>#DIV/0!</v>
      </c>
      <c r="DP43" s="529"/>
      <c r="DQ43" s="529"/>
      <c r="DR43" s="414" t="e">
        <f>$AS$41</f>
        <v>#DIV/0!</v>
      </c>
      <c r="DS43" s="242" t="str">
        <f>Tabla2[[#This Row],[Columna1]]</f>
        <v>C36</v>
      </c>
      <c r="DT43" s="303" t="e">
        <f>Tabla2926[[#This Row],[Columna3]]/7</f>
        <v>#DIV/0!</v>
      </c>
      <c r="DU43" s="303" t="e">
        <f>Tabla2926[[#This Row],[Columna4]]/4.2</f>
        <v>#DIV/0!</v>
      </c>
      <c r="DV43" s="303" t="e">
        <f>Tabla292[[#This Row],[Columna16]]</f>
        <v>#DIV/0!</v>
      </c>
      <c r="DW43" s="303" t="e">
        <f>(Tabla2926[[#This Row],[Columna4]]*DW$5/$DN$5)*$DV$4</f>
        <v>#DIV/0!</v>
      </c>
      <c r="DX43" s="303" t="e">
        <f>(Tabla2926[[#This Row],[Columna4]]*DX$5/$DN$5)*$DV$4</f>
        <v>#DIV/0!</v>
      </c>
      <c r="DY43" s="303" t="e">
        <f>(Tabla2926[[#This Row],[Columna4]]*DY$5/$DN$5)*$DV$4</f>
        <v>#DIV/0!</v>
      </c>
      <c r="DZ43" s="303" t="e">
        <f>(Tabla2926[[#This Row],[Columna4]]*DZ$5/$DN$5)*$DV$4</f>
        <v>#DIV/0!</v>
      </c>
      <c r="EA43" s="303" t="e">
        <f>(Tabla2926[[#This Row],[Columna4]]*EA$5/$DN$5)*$DV$4</f>
        <v>#DIV/0!</v>
      </c>
      <c r="EB43" s="303" t="e">
        <f>(Tabla2926[[#This Row],[Columna4]]*EB$5/$DN$5)*$DV$4</f>
        <v>#DIV/0!</v>
      </c>
      <c r="EC43" s="303" t="e">
        <f>(Tabla2926[[#This Row],[Columna4]]*EC$5/$DN$5)*$DV$4</f>
        <v>#DIV/0!</v>
      </c>
      <c r="ED43" s="303" t="e">
        <f>(Tabla2926[[#This Row],[Columna4]]*ED$5/$DN$5)*$DV$4</f>
        <v>#DIV/0!</v>
      </c>
      <c r="EE43" s="303" t="e">
        <f>(Tabla2926[[#This Row],[Columna4]]*EE$5/$DN$5)*$DV$4</f>
        <v>#DIV/0!</v>
      </c>
      <c r="EF43" s="303" t="e">
        <f>(Tabla2926[[#This Row],[Columna4]]*EF$5/$DN$5)*$DV$4</f>
        <v>#DIV/0!</v>
      </c>
      <c r="EG43" s="303" t="e">
        <f>(Tabla2926[[#This Row],[Columna4]]*EG$5/$DN$5)*$DV$4</f>
        <v>#DIV/0!</v>
      </c>
      <c r="EH43" s="303" t="e">
        <f>(Tabla2926[[#This Row],[Columna4]]*EH$5/$DN$5)*$DV$4</f>
        <v>#DIV/0!</v>
      </c>
      <c r="EJ43" s="529"/>
      <c r="EK43" s="529"/>
      <c r="EL43" s="414" t="e">
        <f>$AS$41</f>
        <v>#DIV/0!</v>
      </c>
      <c r="EM43" s="242" t="str">
        <f>Tabla2[[#This Row],[Columna1]]</f>
        <v>C36</v>
      </c>
      <c r="EN43" s="303" t="e">
        <f>Tabla29268[[#This Row],[Columna3]]/7</f>
        <v>#DIV/0!</v>
      </c>
      <c r="EO43" s="303" t="e">
        <f>Tabla29268[[#This Row],[Columna4]]/4.2</f>
        <v>#DIV/0!</v>
      </c>
      <c r="EP43" s="303" t="e">
        <f>Tabla2926[[#This Row],[Columna16]]</f>
        <v>#DIV/0!</v>
      </c>
      <c r="EQ43" s="303" t="e">
        <f>(Tabla29268[[#This Row],[Columna4]]*EQ$5/$EH$5)*$EP$4</f>
        <v>#DIV/0!</v>
      </c>
      <c r="ER43" s="303" t="e">
        <f>(Tabla29268[[#This Row],[Columna4]]*ER$5/$EH$5)*$EP$4</f>
        <v>#DIV/0!</v>
      </c>
      <c r="ES43" s="303" t="e">
        <f>(Tabla29268[[#This Row],[Columna4]]*ES$5/$EH$5)*$EP$4</f>
        <v>#DIV/0!</v>
      </c>
      <c r="ET43" s="303" t="e">
        <f>(Tabla29268[[#This Row],[Columna4]]*ET$5/$EH$5)*$EP$4</f>
        <v>#DIV/0!</v>
      </c>
      <c r="EU43" s="303" t="e">
        <f>(Tabla29268[[#This Row],[Columna4]]*EU$5/$EH$5)*$EP$4</f>
        <v>#DIV/0!</v>
      </c>
      <c r="EV43" s="303" t="e">
        <f>(Tabla29268[[#This Row],[Columna4]]*EV$5/$EH$5)*$EP$4</f>
        <v>#DIV/0!</v>
      </c>
      <c r="EW43" s="303" t="e">
        <f>(Tabla29268[[#This Row],[Columna4]]*EW$5/$EH$5)*$EP$4</f>
        <v>#DIV/0!</v>
      </c>
      <c r="EX43" s="303" t="e">
        <f>(Tabla29268[[#This Row],[Columna4]]*EX$5/$EH$5)*$EP$4</f>
        <v>#DIV/0!</v>
      </c>
      <c r="EY43" s="303" t="e">
        <f>(Tabla29268[[#This Row],[Columna4]]*EY$5/$EH$5)*$EP$4</f>
        <v>#DIV/0!</v>
      </c>
      <c r="EZ43" s="303" t="e">
        <f>(Tabla29268[[#This Row],[Columna4]]*EZ$5/$EH$5)*$EP$4</f>
        <v>#DIV/0!</v>
      </c>
      <c r="FA43" s="303" t="e">
        <f>(Tabla29268[[#This Row],[Columna4]]*FA$5/$EH$5)*$EP$4</f>
        <v>#DIV/0!</v>
      </c>
      <c r="FB43" s="303" t="e">
        <f>(Tabla29268[[#This Row],[Columna4]]*FB$5/$EH$5)*$EP$4</f>
        <v>#DIV/0!</v>
      </c>
      <c r="FD43" s="397" t="s">
        <v>45</v>
      </c>
      <c r="FE43" s="399" t="s">
        <v>42</v>
      </c>
      <c r="FF43" s="400">
        <f t="shared" si="212"/>
        <v>0</v>
      </c>
      <c r="FG43" s="400">
        <f t="shared" si="212"/>
        <v>0</v>
      </c>
      <c r="FH43" s="400">
        <f t="shared" si="212"/>
        <v>0</v>
      </c>
      <c r="FI43" s="400">
        <f t="shared" si="212"/>
        <v>0</v>
      </c>
      <c r="FJ43" s="400">
        <f t="shared" si="212"/>
        <v>0</v>
      </c>
      <c r="FK43" s="400">
        <f t="shared" si="212"/>
        <v>0</v>
      </c>
      <c r="FL43" s="400">
        <f t="shared" si="212"/>
        <v>0</v>
      </c>
      <c r="FM43" s="400">
        <f t="shared" si="212"/>
        <v>0</v>
      </c>
      <c r="FN43" s="400">
        <f t="shared" si="212"/>
        <v>0</v>
      </c>
      <c r="FO43" s="400">
        <f t="shared" si="212"/>
        <v>0</v>
      </c>
      <c r="FP43" s="400">
        <f t="shared" si="212"/>
        <v>0</v>
      </c>
      <c r="FQ43" s="400">
        <f t="shared" si="212"/>
        <v>0</v>
      </c>
      <c r="FR43" s="363">
        <f t="shared" si="197"/>
        <v>0</v>
      </c>
      <c r="FS43" s="260" t="e">
        <f t="shared" si="198"/>
        <v>#DIV/0!</v>
      </c>
      <c r="FV43" s="307" t="s">
        <v>280</v>
      </c>
      <c r="FW43" s="355" t="e">
        <f>($FF$12*(1+GH35+GH34+GD35))+(FW39*(GD34+GD33))</f>
        <v>#DIV/0!</v>
      </c>
      <c r="FX43" s="355" t="e">
        <f>($FG$12*(1+GH35+GH34+GD35))+(FX39*(GD34+GD33))</f>
        <v>#DIV/0!</v>
      </c>
      <c r="FY43" s="355" t="e">
        <f>($FH$12*(1+GH35+GH34+GD35))+(FY39*(GD34+GD33))</f>
        <v>#DIV/0!</v>
      </c>
      <c r="FZ43" s="355" t="e">
        <f>($FI$12*(1+GH35+GH34+GD35))+(FZ39*(GD34+GD33))</f>
        <v>#DIV/0!</v>
      </c>
      <c r="GA43" s="355" t="e">
        <f>($FJ$12*(1+GH35+GH34+GD35))+(GA39*(GD34+GD33))</f>
        <v>#DIV/0!</v>
      </c>
      <c r="GB43" s="355" t="e">
        <f>($FK$12*(1+GH35+GH34+GD35))+(GB39*(GD34+GD33))</f>
        <v>#DIV/0!</v>
      </c>
      <c r="GC43" s="355" t="e">
        <f>($FL$12*(1+GH35+GH34+GD35))+(GC39*(GD34+GD33))</f>
        <v>#DIV/0!</v>
      </c>
      <c r="GD43" s="355" t="e">
        <f>($FM$12*(1+GH35+GH34+GD35))+(GD39*(GD34+GD33))</f>
        <v>#DIV/0!</v>
      </c>
      <c r="GE43" s="355" t="e">
        <f>($FN$12*(1+GH35+GH34+GD35))+(GE39*(GD34+GD33))</f>
        <v>#DIV/0!</v>
      </c>
      <c r="GF43" s="355" t="e">
        <f>($FO$12*(1+GH35+GH34+GD35))+(GF39*(GD34+GD33))</f>
        <v>#DIV/0!</v>
      </c>
      <c r="GG43" s="355" t="e">
        <f>($FP$12*(1+GH35+GH34+GD35))+(GG39*(GD34+GD33))</f>
        <v>#DIV/0!</v>
      </c>
      <c r="GH43" s="355" t="e">
        <f>($FQ$12*(1+GH35+GH34+GD35))+(GH39*(GD34+GD33))</f>
        <v>#DIV/0!</v>
      </c>
      <c r="GI43" s="355" t="e">
        <f>SUM(FW43:GH43)</f>
        <v>#DIV/0!</v>
      </c>
      <c r="GJ43" s="262" t="e">
        <f t="shared" ref="GJ43:GJ44" si="248">GI43/$GI$6</f>
        <v>#DIV/0!</v>
      </c>
      <c r="HD43" s="65" t="s">
        <v>838</v>
      </c>
      <c r="HE43" s="66">
        <v>0</v>
      </c>
      <c r="HF43" s="67">
        <f t="shared" si="77"/>
        <v>0</v>
      </c>
      <c r="HG43" s="68">
        <f t="shared" si="78"/>
        <v>0</v>
      </c>
      <c r="HH43" s="69">
        <v>1</v>
      </c>
      <c r="HI43" s="367">
        <v>0</v>
      </c>
      <c r="HJ43" s="140"/>
      <c r="HM43" s="417" t="s">
        <v>599</v>
      </c>
      <c r="HN43" s="418" t="e">
        <f>HN39-HN41</f>
        <v>#DIV/0!</v>
      </c>
      <c r="HO43" s="354" t="e">
        <f>HN43/HN$9</f>
        <v>#DIV/0!</v>
      </c>
      <c r="HP43" s="418" t="e">
        <f>HP39-HP41</f>
        <v>#DIV/0!</v>
      </c>
      <c r="HQ43" s="354" t="e">
        <f>HP43/HP$9</f>
        <v>#DIV/0!</v>
      </c>
      <c r="HR43" s="418" t="e">
        <f>HR39-HR41</f>
        <v>#DIV/0!</v>
      </c>
      <c r="HS43" s="354" t="e">
        <f>HR43/HR$9</f>
        <v>#DIV/0!</v>
      </c>
      <c r="HT43" s="418" t="e">
        <f>HT39-HT41</f>
        <v>#DIV/0!</v>
      </c>
      <c r="HU43" s="354" t="e">
        <f>HT43/HT$9</f>
        <v>#DIV/0!</v>
      </c>
      <c r="HV43" s="418" t="e">
        <f>HV39-HV41</f>
        <v>#DIV/0!</v>
      </c>
      <c r="HW43" s="354" t="e">
        <f>HV43/HV$9</f>
        <v>#DIV/0!</v>
      </c>
      <c r="HX43" s="418" t="e">
        <f>HX39-HX41</f>
        <v>#DIV/0!</v>
      </c>
      <c r="HY43" s="354" t="e">
        <f>HX43/HX$9</f>
        <v>#DIV/0!</v>
      </c>
      <c r="HZ43" s="418" t="e">
        <f>HZ39-HZ41</f>
        <v>#DIV/0!</v>
      </c>
      <c r="IA43" s="354" t="e">
        <f>HZ43/HZ$9</f>
        <v>#DIV/0!</v>
      </c>
      <c r="IB43" s="418" t="e">
        <f>IB39-IB41</f>
        <v>#DIV/0!</v>
      </c>
      <c r="IC43" s="354" t="e">
        <f>IB43/IB$9</f>
        <v>#DIV/0!</v>
      </c>
      <c r="ID43" s="418" t="e">
        <f>ID39-ID41</f>
        <v>#DIV/0!</v>
      </c>
      <c r="IE43" s="354" t="e">
        <f>ID43/ID$9</f>
        <v>#DIV/0!</v>
      </c>
      <c r="IF43" s="418" t="e">
        <f>IF39-IF41</f>
        <v>#DIV/0!</v>
      </c>
      <c r="IG43" s="354" t="e">
        <f>IF43/IF$9</f>
        <v>#DIV/0!</v>
      </c>
      <c r="IH43" s="418" t="e">
        <f>IH39-IH41</f>
        <v>#DIV/0!</v>
      </c>
      <c r="II43" s="354" t="e">
        <f>IH43/IH$9</f>
        <v>#DIV/0!</v>
      </c>
      <c r="IJ43" s="418" t="e">
        <f>IJ39-IJ41</f>
        <v>#DIV/0!</v>
      </c>
      <c r="IK43" s="354" t="e">
        <f>IJ43/IJ$9</f>
        <v>#DIV/0!</v>
      </c>
      <c r="IL43" s="419" t="e">
        <f>IL39-IL41</f>
        <v>#DIV/0!</v>
      </c>
      <c r="IM43" s="354" t="e">
        <f>IL43/IL$9</f>
        <v>#DIV/0!</v>
      </c>
    </row>
    <row r="44" spans="2:247" ht="14.4" customHeight="1" x14ac:dyDescent="0.3">
      <c r="C44" s="44" t="s">
        <v>611</v>
      </c>
      <c r="D44" s="109">
        <f>IN13</f>
        <v>0</v>
      </c>
      <c r="AM44" s="412">
        <f t="shared" si="5"/>
        <v>0</v>
      </c>
      <c r="AN44" s="412">
        <f t="shared" si="6"/>
        <v>0</v>
      </c>
      <c r="AO44" s="412">
        <f t="shared" si="7"/>
        <v>0</v>
      </c>
      <c r="AP44" s="412">
        <f t="shared" si="8"/>
        <v>0</v>
      </c>
      <c r="AQ44" s="413" t="s">
        <v>839</v>
      </c>
      <c r="AR44" s="297">
        <f t="shared" si="9"/>
        <v>0</v>
      </c>
      <c r="AS44" s="414" t="e">
        <f t="shared" si="2"/>
        <v>#DIV/0!</v>
      </c>
      <c r="AT44" s="529"/>
      <c r="AU44" s="529"/>
      <c r="AV44" s="299">
        <v>0</v>
      </c>
      <c r="AW44" s="300">
        <v>0</v>
      </c>
      <c r="AX44" s="301"/>
      <c r="BH44" s="529"/>
      <c r="BI44" s="529"/>
      <c r="BJ44" s="414" t="e">
        <f>$AS$42</f>
        <v>#DIV/0!</v>
      </c>
      <c r="BK44" s="242" t="str">
        <f t="shared" si="19"/>
        <v>C37</v>
      </c>
      <c r="BL44" s="303">
        <f t="shared" si="20"/>
        <v>0</v>
      </c>
      <c r="BM44" s="303">
        <f t="shared" si="20"/>
        <v>0</v>
      </c>
      <c r="BN44" s="303">
        <f t="shared" si="20"/>
        <v>0</v>
      </c>
      <c r="BO44" s="303">
        <f t="shared" si="21"/>
        <v>0</v>
      </c>
      <c r="BP44" s="303">
        <f t="shared" si="22"/>
        <v>0</v>
      </c>
      <c r="BQ44" s="303">
        <f t="shared" si="23"/>
        <v>0</v>
      </c>
      <c r="BR44" s="303">
        <f t="shared" si="24"/>
        <v>0</v>
      </c>
      <c r="BS44" s="303">
        <f t="shared" si="25"/>
        <v>0</v>
      </c>
      <c r="BT44" s="303">
        <f t="shared" si="26"/>
        <v>0</v>
      </c>
      <c r="BU44" s="303">
        <f t="shared" si="27"/>
        <v>0</v>
      </c>
      <c r="BV44" s="303">
        <f t="shared" si="28"/>
        <v>0</v>
      </c>
      <c r="BW44" s="303">
        <f t="shared" si="29"/>
        <v>0</v>
      </c>
      <c r="BX44" s="303">
        <f t="shared" si="30"/>
        <v>0</v>
      </c>
      <c r="BY44" s="303">
        <f t="shared" si="31"/>
        <v>0</v>
      </c>
      <c r="BZ44" s="303">
        <f t="shared" si="32"/>
        <v>0</v>
      </c>
      <c r="CB44" s="529"/>
      <c r="CC44" s="529"/>
      <c r="CD44" s="414" t="e">
        <f>$AS$42</f>
        <v>#DIV/0!</v>
      </c>
      <c r="CE44" s="242" t="str">
        <f>Tabla2[[#This Row],[Columna1]]</f>
        <v>C37</v>
      </c>
      <c r="CF44" s="303">
        <f>Tabla29[[#This Row],[Columna3]]/7</f>
        <v>0</v>
      </c>
      <c r="CG44" s="303">
        <f>Tabla29[[#This Row],[Columna4]]/4.2</f>
        <v>0</v>
      </c>
      <c r="CH44" s="303">
        <f>Tabla2[[#This Row],[Columna16]]</f>
        <v>0</v>
      </c>
      <c r="CI44" s="303" t="e">
        <f>(Tabla29[[#This Row],[Columna4]]*CI$5/$BZ$5)*$CH$4</f>
        <v>#DIV/0!</v>
      </c>
      <c r="CJ44" s="303" t="e">
        <f>(Tabla29[[#This Row],[Columna4]]*CJ$5/$BZ$5)*$CH$4</f>
        <v>#DIV/0!</v>
      </c>
      <c r="CK44" s="303" t="e">
        <f>(Tabla29[[#This Row],[Columna4]]*CK$5/$BZ$5)*$CH$4</f>
        <v>#DIV/0!</v>
      </c>
      <c r="CL44" s="303" t="e">
        <f>(Tabla29[[#This Row],[Columna4]]*CL$5/$BZ$5)*$CH$4</f>
        <v>#DIV/0!</v>
      </c>
      <c r="CM44" s="303" t="e">
        <f>(Tabla29[[#This Row],[Columna4]]*CM$5/$BZ$5)*$CH$4</f>
        <v>#DIV/0!</v>
      </c>
      <c r="CN44" s="303" t="e">
        <f>(Tabla29[[#This Row],[Columna4]]*CN$5/$BZ$5)*$CH$4</f>
        <v>#DIV/0!</v>
      </c>
      <c r="CO44" s="303" t="e">
        <f>(Tabla29[[#This Row],[Columna4]]*CO$5/$BZ$5)*$CH$4</f>
        <v>#DIV/0!</v>
      </c>
      <c r="CP44" s="303" t="e">
        <f>(Tabla29[[#This Row],[Columna4]]*CP$5/$BZ$5)*$CH$4</f>
        <v>#DIV/0!</v>
      </c>
      <c r="CQ44" s="303" t="e">
        <f>(Tabla29[[#This Row],[Columna4]]*CQ$5/$BZ$5)*$CH$4</f>
        <v>#DIV/0!</v>
      </c>
      <c r="CR44" s="303" t="e">
        <f>(Tabla29[[#This Row],[Columna4]]*CR$5/$BZ$5)*$CH$4</f>
        <v>#DIV/0!</v>
      </c>
      <c r="CS44" s="303" t="e">
        <f>(Tabla29[[#This Row],[Columna4]]*CS$5/$BZ$5)*$CH$4</f>
        <v>#DIV/0!</v>
      </c>
      <c r="CT44" s="303" t="e">
        <f>(Tabla29[[#This Row],[Columna4]]*CT$5/$BZ$5)*$CH$4</f>
        <v>#DIV/0!</v>
      </c>
      <c r="CV44" s="529"/>
      <c r="CW44" s="529"/>
      <c r="CX44" s="414" t="e">
        <f>$AS$42</f>
        <v>#DIV/0!</v>
      </c>
      <c r="CY44" s="242" t="str">
        <f>Tabla2[[#This Row],[Columna1]]</f>
        <v>C37</v>
      </c>
      <c r="CZ44" s="303" t="e">
        <f>Tabla292[[#This Row],[Columna3]]/7</f>
        <v>#DIV/0!</v>
      </c>
      <c r="DA44" s="303" t="e">
        <f>Tabla292[[#This Row],[Columna4]]/4.2</f>
        <v>#DIV/0!</v>
      </c>
      <c r="DB44" s="303" t="e">
        <f>Tabla29[[#This Row],[Columna16]]</f>
        <v>#DIV/0!</v>
      </c>
      <c r="DC44" s="303" t="e">
        <f>(Tabla292[[#This Row],[Columna4]]*DC$5/$CT$5)*$DB$4</f>
        <v>#DIV/0!</v>
      </c>
      <c r="DD44" s="303" t="e">
        <f>(Tabla292[[#This Row],[Columna4]]*DD$5/$CT$5)*$DB$4</f>
        <v>#DIV/0!</v>
      </c>
      <c r="DE44" s="303" t="e">
        <f>(Tabla292[[#This Row],[Columna4]]*DE$5/$CT$5)*$DB$4</f>
        <v>#DIV/0!</v>
      </c>
      <c r="DF44" s="303" t="e">
        <f>(Tabla292[[#This Row],[Columna4]]*DF$5/$CT$5)*$DB$4</f>
        <v>#DIV/0!</v>
      </c>
      <c r="DG44" s="303" t="e">
        <f>(Tabla292[[#This Row],[Columna4]]*DG$5/$CT$5)*$DB$4</f>
        <v>#DIV/0!</v>
      </c>
      <c r="DH44" s="303" t="e">
        <f>(Tabla292[[#This Row],[Columna4]]*DH$5/$CT$5)*$DB$4</f>
        <v>#DIV/0!</v>
      </c>
      <c r="DI44" s="303" t="e">
        <f>(Tabla292[[#This Row],[Columna4]]*DI$5/$CT$5)*$DB$4</f>
        <v>#DIV/0!</v>
      </c>
      <c r="DJ44" s="303" t="e">
        <f>(Tabla292[[#This Row],[Columna4]]*DJ$5/$CT$5)*$DB$4</f>
        <v>#DIV/0!</v>
      </c>
      <c r="DK44" s="303" t="e">
        <f>(Tabla292[[#This Row],[Columna4]]*DK$5/$CT$5)*$DB$4</f>
        <v>#DIV/0!</v>
      </c>
      <c r="DL44" s="303" t="e">
        <f>(Tabla292[[#This Row],[Columna4]]*DL$5/$CT$5)*$DB$4</f>
        <v>#DIV/0!</v>
      </c>
      <c r="DM44" s="303" t="e">
        <f>(Tabla292[[#This Row],[Columna4]]*DM$5/$CT$5)*$DB$4</f>
        <v>#DIV/0!</v>
      </c>
      <c r="DN44" s="303" t="e">
        <f>(Tabla292[[#This Row],[Columna4]]*DN$5/$CT$5)*$DB$4</f>
        <v>#DIV/0!</v>
      </c>
      <c r="DP44" s="529"/>
      <c r="DQ44" s="529"/>
      <c r="DR44" s="414" t="e">
        <f>$AS$42</f>
        <v>#DIV/0!</v>
      </c>
      <c r="DS44" s="242" t="str">
        <f>Tabla2[[#This Row],[Columna1]]</f>
        <v>C37</v>
      </c>
      <c r="DT44" s="303" t="e">
        <f>Tabla2926[[#This Row],[Columna3]]/7</f>
        <v>#DIV/0!</v>
      </c>
      <c r="DU44" s="303" t="e">
        <f>Tabla2926[[#This Row],[Columna4]]/4.2</f>
        <v>#DIV/0!</v>
      </c>
      <c r="DV44" s="303" t="e">
        <f>Tabla292[[#This Row],[Columna16]]</f>
        <v>#DIV/0!</v>
      </c>
      <c r="DW44" s="303" t="e">
        <f>(Tabla2926[[#This Row],[Columna4]]*DW$5/$DN$5)*$DV$4</f>
        <v>#DIV/0!</v>
      </c>
      <c r="DX44" s="303" t="e">
        <f>(Tabla2926[[#This Row],[Columna4]]*DX$5/$DN$5)*$DV$4</f>
        <v>#DIV/0!</v>
      </c>
      <c r="DY44" s="303" t="e">
        <f>(Tabla2926[[#This Row],[Columna4]]*DY$5/$DN$5)*$DV$4</f>
        <v>#DIV/0!</v>
      </c>
      <c r="DZ44" s="303" t="e">
        <f>(Tabla2926[[#This Row],[Columna4]]*DZ$5/$DN$5)*$DV$4</f>
        <v>#DIV/0!</v>
      </c>
      <c r="EA44" s="303" t="e">
        <f>(Tabla2926[[#This Row],[Columna4]]*EA$5/$DN$5)*$DV$4</f>
        <v>#DIV/0!</v>
      </c>
      <c r="EB44" s="303" t="e">
        <f>(Tabla2926[[#This Row],[Columna4]]*EB$5/$DN$5)*$DV$4</f>
        <v>#DIV/0!</v>
      </c>
      <c r="EC44" s="303" t="e">
        <f>(Tabla2926[[#This Row],[Columna4]]*EC$5/$DN$5)*$DV$4</f>
        <v>#DIV/0!</v>
      </c>
      <c r="ED44" s="303" t="e">
        <f>(Tabla2926[[#This Row],[Columna4]]*ED$5/$DN$5)*$DV$4</f>
        <v>#DIV/0!</v>
      </c>
      <c r="EE44" s="303" t="e">
        <f>(Tabla2926[[#This Row],[Columna4]]*EE$5/$DN$5)*$DV$4</f>
        <v>#DIV/0!</v>
      </c>
      <c r="EF44" s="303" t="e">
        <f>(Tabla2926[[#This Row],[Columna4]]*EF$5/$DN$5)*$DV$4</f>
        <v>#DIV/0!</v>
      </c>
      <c r="EG44" s="303" t="e">
        <f>(Tabla2926[[#This Row],[Columna4]]*EG$5/$DN$5)*$DV$4</f>
        <v>#DIV/0!</v>
      </c>
      <c r="EH44" s="303" t="e">
        <f>(Tabla2926[[#This Row],[Columna4]]*EH$5/$DN$5)*$DV$4</f>
        <v>#DIV/0!</v>
      </c>
      <c r="EJ44" s="529"/>
      <c r="EK44" s="529"/>
      <c r="EL44" s="414" t="e">
        <f>$AS$42</f>
        <v>#DIV/0!</v>
      </c>
      <c r="EM44" s="242" t="str">
        <f>Tabla2[[#This Row],[Columna1]]</f>
        <v>C37</v>
      </c>
      <c r="EN44" s="303" t="e">
        <f>Tabla29268[[#This Row],[Columna3]]/7</f>
        <v>#DIV/0!</v>
      </c>
      <c r="EO44" s="303" t="e">
        <f>Tabla29268[[#This Row],[Columna4]]/4.2</f>
        <v>#DIV/0!</v>
      </c>
      <c r="EP44" s="303" t="e">
        <f>Tabla2926[[#This Row],[Columna16]]</f>
        <v>#DIV/0!</v>
      </c>
      <c r="EQ44" s="303" t="e">
        <f>(Tabla29268[[#This Row],[Columna4]]*EQ$5/$EH$5)*$EP$4</f>
        <v>#DIV/0!</v>
      </c>
      <c r="ER44" s="303" t="e">
        <f>(Tabla29268[[#This Row],[Columna4]]*ER$5/$EH$5)*$EP$4</f>
        <v>#DIV/0!</v>
      </c>
      <c r="ES44" s="303" t="e">
        <f>(Tabla29268[[#This Row],[Columna4]]*ES$5/$EH$5)*$EP$4</f>
        <v>#DIV/0!</v>
      </c>
      <c r="ET44" s="303" t="e">
        <f>(Tabla29268[[#This Row],[Columna4]]*ET$5/$EH$5)*$EP$4</f>
        <v>#DIV/0!</v>
      </c>
      <c r="EU44" s="303" t="e">
        <f>(Tabla29268[[#This Row],[Columna4]]*EU$5/$EH$5)*$EP$4</f>
        <v>#DIV/0!</v>
      </c>
      <c r="EV44" s="303" t="e">
        <f>(Tabla29268[[#This Row],[Columna4]]*EV$5/$EH$5)*$EP$4</f>
        <v>#DIV/0!</v>
      </c>
      <c r="EW44" s="303" t="e">
        <f>(Tabla29268[[#This Row],[Columna4]]*EW$5/$EH$5)*$EP$4</f>
        <v>#DIV/0!</v>
      </c>
      <c r="EX44" s="303" t="e">
        <f>(Tabla29268[[#This Row],[Columna4]]*EX$5/$EH$5)*$EP$4</f>
        <v>#DIV/0!</v>
      </c>
      <c r="EY44" s="303" t="e">
        <f>(Tabla29268[[#This Row],[Columna4]]*EY$5/$EH$5)*$EP$4</f>
        <v>#DIV/0!</v>
      </c>
      <c r="EZ44" s="303" t="e">
        <f>(Tabla29268[[#This Row],[Columna4]]*EZ$5/$EH$5)*$EP$4</f>
        <v>#DIV/0!</v>
      </c>
      <c r="FA44" s="303" t="e">
        <f>(Tabla29268[[#This Row],[Columna4]]*FA$5/$EH$5)*$EP$4</f>
        <v>#DIV/0!</v>
      </c>
      <c r="FB44" s="303" t="e">
        <f>(Tabla29268[[#This Row],[Columna4]]*FB$5/$EH$5)*$EP$4</f>
        <v>#DIV/0!</v>
      </c>
      <c r="FD44" s="397" t="s">
        <v>46</v>
      </c>
      <c r="FE44" s="399" t="s">
        <v>44</v>
      </c>
      <c r="FF44" s="400">
        <f t="shared" si="212"/>
        <v>0</v>
      </c>
      <c r="FG44" s="400">
        <f t="shared" si="212"/>
        <v>0</v>
      </c>
      <c r="FH44" s="400">
        <f t="shared" si="212"/>
        <v>0</v>
      </c>
      <c r="FI44" s="400">
        <f t="shared" si="212"/>
        <v>0</v>
      </c>
      <c r="FJ44" s="400">
        <f t="shared" si="212"/>
        <v>0</v>
      </c>
      <c r="FK44" s="400">
        <f t="shared" si="212"/>
        <v>0</v>
      </c>
      <c r="FL44" s="400">
        <f t="shared" si="212"/>
        <v>0</v>
      </c>
      <c r="FM44" s="400">
        <f t="shared" si="212"/>
        <v>0</v>
      </c>
      <c r="FN44" s="400">
        <f t="shared" si="212"/>
        <v>0</v>
      </c>
      <c r="FO44" s="400">
        <f t="shared" si="212"/>
        <v>0</v>
      </c>
      <c r="FP44" s="400">
        <f t="shared" si="212"/>
        <v>0</v>
      </c>
      <c r="FQ44" s="400">
        <f t="shared" si="212"/>
        <v>0</v>
      </c>
      <c r="FR44" s="363">
        <f t="shared" si="197"/>
        <v>0</v>
      </c>
      <c r="FS44" s="260" t="e">
        <f t="shared" si="198"/>
        <v>#DIV/0!</v>
      </c>
      <c r="FV44" s="357" t="s">
        <v>449</v>
      </c>
      <c r="FW44" s="358" t="e">
        <f>FW41-FW43</f>
        <v>#DIV/0!</v>
      </c>
      <c r="FX44" s="358" t="e">
        <f t="shared" ref="FX44:GH44" si="249">FX41-FX43</f>
        <v>#DIV/0!</v>
      </c>
      <c r="FY44" s="358" t="e">
        <f t="shared" si="249"/>
        <v>#DIV/0!</v>
      </c>
      <c r="FZ44" s="358" t="e">
        <f t="shared" si="249"/>
        <v>#DIV/0!</v>
      </c>
      <c r="GA44" s="358" t="e">
        <f t="shared" si="249"/>
        <v>#DIV/0!</v>
      </c>
      <c r="GB44" s="358" t="e">
        <f t="shared" si="249"/>
        <v>#DIV/0!</v>
      </c>
      <c r="GC44" s="358" t="e">
        <f t="shared" si="249"/>
        <v>#DIV/0!</v>
      </c>
      <c r="GD44" s="358" t="e">
        <f t="shared" si="249"/>
        <v>#DIV/0!</v>
      </c>
      <c r="GE44" s="358" t="e">
        <f t="shared" si="249"/>
        <v>#DIV/0!</v>
      </c>
      <c r="GF44" s="358" t="e">
        <f t="shared" si="249"/>
        <v>#DIV/0!</v>
      </c>
      <c r="GG44" s="358" t="e">
        <f t="shared" si="249"/>
        <v>#DIV/0!</v>
      </c>
      <c r="GH44" s="358" t="e">
        <f t="shared" si="249"/>
        <v>#DIV/0!</v>
      </c>
      <c r="GI44" s="309" t="e">
        <f>SUM(FW44:GH44)</f>
        <v>#DIV/0!</v>
      </c>
      <c r="GJ44" s="262" t="e">
        <f t="shared" si="248"/>
        <v>#DIV/0!</v>
      </c>
      <c r="HD44" s="65" t="s">
        <v>840</v>
      </c>
      <c r="HE44" s="66">
        <v>0</v>
      </c>
      <c r="HF44" s="67">
        <f t="shared" si="77"/>
        <v>0</v>
      </c>
      <c r="HG44" s="68">
        <f t="shared" si="78"/>
        <v>0</v>
      </c>
      <c r="HH44" s="69">
        <v>1</v>
      </c>
      <c r="HI44" s="367">
        <v>0</v>
      </c>
      <c r="HJ44" s="140"/>
      <c r="HM44" s="283"/>
      <c r="HN44" s="316"/>
      <c r="HO44" s="371"/>
      <c r="HP44" s="316"/>
      <c r="HQ44" s="371"/>
      <c r="HR44" s="316"/>
      <c r="HS44" s="371"/>
      <c r="HT44" s="316"/>
      <c r="HU44" s="371"/>
      <c r="HV44" s="316"/>
      <c r="HW44" s="371"/>
      <c r="HX44" s="316"/>
      <c r="HY44" s="371"/>
      <c r="HZ44" s="316"/>
      <c r="IA44" s="371"/>
      <c r="IB44" s="316"/>
      <c r="IC44" s="371"/>
      <c r="ID44" s="316"/>
      <c r="IE44" s="371"/>
      <c r="IF44" s="316"/>
      <c r="IG44" s="371"/>
      <c r="IH44" s="316"/>
      <c r="II44" s="371"/>
      <c r="IJ44" s="316"/>
      <c r="IK44" s="371"/>
      <c r="IL44" s="316"/>
      <c r="IM44" s="371"/>
    </row>
    <row r="45" spans="2:247" ht="14.4" customHeight="1" x14ac:dyDescent="0.3">
      <c r="C45" s="44" t="s">
        <v>622</v>
      </c>
      <c r="D45" s="15">
        <v>10</v>
      </c>
      <c r="AM45" s="412">
        <f t="shared" si="5"/>
        <v>0</v>
      </c>
      <c r="AN45" s="412">
        <f t="shared" si="6"/>
        <v>0</v>
      </c>
      <c r="AO45" s="412">
        <f t="shared" si="7"/>
        <v>0</v>
      </c>
      <c r="AP45" s="412">
        <f t="shared" si="8"/>
        <v>0</v>
      </c>
      <c r="AQ45" s="413" t="s">
        <v>841</v>
      </c>
      <c r="AR45" s="297">
        <f t="shared" si="9"/>
        <v>0</v>
      </c>
      <c r="AS45" s="414" t="e">
        <f t="shared" si="2"/>
        <v>#DIV/0!</v>
      </c>
      <c r="AT45" s="529"/>
      <c r="AU45" s="529"/>
      <c r="AV45" s="299">
        <v>0</v>
      </c>
      <c r="AW45" s="300">
        <v>0</v>
      </c>
      <c r="AX45" s="301"/>
      <c r="BH45" s="529"/>
      <c r="BI45" s="529"/>
      <c r="BJ45" s="414" t="e">
        <f>$AS$43</f>
        <v>#DIV/0!</v>
      </c>
      <c r="BK45" s="242" t="str">
        <f t="shared" si="19"/>
        <v>C38</v>
      </c>
      <c r="BL45" s="303">
        <f t="shared" si="20"/>
        <v>0</v>
      </c>
      <c r="BM45" s="303">
        <f t="shared" si="20"/>
        <v>0</v>
      </c>
      <c r="BN45" s="303">
        <f t="shared" si="20"/>
        <v>0</v>
      </c>
      <c r="BO45" s="303">
        <f t="shared" si="21"/>
        <v>0</v>
      </c>
      <c r="BP45" s="303">
        <f t="shared" si="22"/>
        <v>0</v>
      </c>
      <c r="BQ45" s="303">
        <f t="shared" si="23"/>
        <v>0</v>
      </c>
      <c r="BR45" s="303">
        <f t="shared" si="24"/>
        <v>0</v>
      </c>
      <c r="BS45" s="303">
        <f t="shared" si="25"/>
        <v>0</v>
      </c>
      <c r="BT45" s="303">
        <f t="shared" si="26"/>
        <v>0</v>
      </c>
      <c r="BU45" s="303">
        <f t="shared" si="27"/>
        <v>0</v>
      </c>
      <c r="BV45" s="303">
        <f t="shared" si="28"/>
        <v>0</v>
      </c>
      <c r="BW45" s="303">
        <f t="shared" si="29"/>
        <v>0</v>
      </c>
      <c r="BX45" s="303">
        <f t="shared" si="30"/>
        <v>0</v>
      </c>
      <c r="BY45" s="303">
        <f t="shared" si="31"/>
        <v>0</v>
      </c>
      <c r="BZ45" s="303">
        <f t="shared" si="32"/>
        <v>0</v>
      </c>
      <c r="CB45" s="529"/>
      <c r="CC45" s="529"/>
      <c r="CD45" s="414" t="e">
        <f>$AS$43</f>
        <v>#DIV/0!</v>
      </c>
      <c r="CE45" s="242" t="str">
        <f>Tabla2[[#This Row],[Columna1]]</f>
        <v>C38</v>
      </c>
      <c r="CF45" s="303">
        <f>Tabla29[[#This Row],[Columna3]]/7</f>
        <v>0</v>
      </c>
      <c r="CG45" s="303">
        <f>Tabla29[[#This Row],[Columna4]]/4.2</f>
        <v>0</v>
      </c>
      <c r="CH45" s="303">
        <f>Tabla2[[#This Row],[Columna16]]</f>
        <v>0</v>
      </c>
      <c r="CI45" s="303" t="e">
        <f>(Tabla29[[#This Row],[Columna4]]*CI$5/$BZ$5)*$CH$4</f>
        <v>#DIV/0!</v>
      </c>
      <c r="CJ45" s="303" t="e">
        <f>(Tabla29[[#This Row],[Columna4]]*CJ$5/$BZ$5)*$CH$4</f>
        <v>#DIV/0!</v>
      </c>
      <c r="CK45" s="303" t="e">
        <f>(Tabla29[[#This Row],[Columna4]]*CK$5/$BZ$5)*$CH$4</f>
        <v>#DIV/0!</v>
      </c>
      <c r="CL45" s="303" t="e">
        <f>(Tabla29[[#This Row],[Columna4]]*CL$5/$BZ$5)*$CH$4</f>
        <v>#DIV/0!</v>
      </c>
      <c r="CM45" s="303" t="e">
        <f>(Tabla29[[#This Row],[Columna4]]*CM$5/$BZ$5)*$CH$4</f>
        <v>#DIV/0!</v>
      </c>
      <c r="CN45" s="303" t="e">
        <f>(Tabla29[[#This Row],[Columna4]]*CN$5/$BZ$5)*$CH$4</f>
        <v>#DIV/0!</v>
      </c>
      <c r="CO45" s="303" t="e">
        <f>(Tabla29[[#This Row],[Columna4]]*CO$5/$BZ$5)*$CH$4</f>
        <v>#DIV/0!</v>
      </c>
      <c r="CP45" s="303" t="e">
        <f>(Tabla29[[#This Row],[Columna4]]*CP$5/$BZ$5)*$CH$4</f>
        <v>#DIV/0!</v>
      </c>
      <c r="CQ45" s="303" t="e">
        <f>(Tabla29[[#This Row],[Columna4]]*CQ$5/$BZ$5)*$CH$4</f>
        <v>#DIV/0!</v>
      </c>
      <c r="CR45" s="303" t="e">
        <f>(Tabla29[[#This Row],[Columna4]]*CR$5/$BZ$5)*$CH$4</f>
        <v>#DIV/0!</v>
      </c>
      <c r="CS45" s="303" t="e">
        <f>(Tabla29[[#This Row],[Columna4]]*CS$5/$BZ$5)*$CH$4</f>
        <v>#DIV/0!</v>
      </c>
      <c r="CT45" s="303" t="e">
        <f>(Tabla29[[#This Row],[Columna4]]*CT$5/$BZ$5)*$CH$4</f>
        <v>#DIV/0!</v>
      </c>
      <c r="CV45" s="529"/>
      <c r="CW45" s="529"/>
      <c r="CX45" s="414" t="e">
        <f>$AS$43</f>
        <v>#DIV/0!</v>
      </c>
      <c r="CY45" s="242" t="str">
        <f>Tabla2[[#This Row],[Columna1]]</f>
        <v>C38</v>
      </c>
      <c r="CZ45" s="303" t="e">
        <f>Tabla292[[#This Row],[Columna3]]/7</f>
        <v>#DIV/0!</v>
      </c>
      <c r="DA45" s="303" t="e">
        <f>Tabla292[[#This Row],[Columna4]]/4.2</f>
        <v>#DIV/0!</v>
      </c>
      <c r="DB45" s="303" t="e">
        <f>Tabla29[[#This Row],[Columna16]]</f>
        <v>#DIV/0!</v>
      </c>
      <c r="DC45" s="303" t="e">
        <f>(Tabla292[[#This Row],[Columna4]]*DC$5/$CT$5)*$DB$4</f>
        <v>#DIV/0!</v>
      </c>
      <c r="DD45" s="303" t="e">
        <f>(Tabla292[[#This Row],[Columna4]]*DD$5/$CT$5)*$DB$4</f>
        <v>#DIV/0!</v>
      </c>
      <c r="DE45" s="303" t="e">
        <f>(Tabla292[[#This Row],[Columna4]]*DE$5/$CT$5)*$DB$4</f>
        <v>#DIV/0!</v>
      </c>
      <c r="DF45" s="303" t="e">
        <f>(Tabla292[[#This Row],[Columna4]]*DF$5/$CT$5)*$DB$4</f>
        <v>#DIV/0!</v>
      </c>
      <c r="DG45" s="303" t="e">
        <f>(Tabla292[[#This Row],[Columna4]]*DG$5/$CT$5)*$DB$4</f>
        <v>#DIV/0!</v>
      </c>
      <c r="DH45" s="303" t="e">
        <f>(Tabla292[[#This Row],[Columna4]]*DH$5/$CT$5)*$DB$4</f>
        <v>#DIV/0!</v>
      </c>
      <c r="DI45" s="303" t="e">
        <f>(Tabla292[[#This Row],[Columna4]]*DI$5/$CT$5)*$DB$4</f>
        <v>#DIV/0!</v>
      </c>
      <c r="DJ45" s="303" t="e">
        <f>(Tabla292[[#This Row],[Columna4]]*DJ$5/$CT$5)*$DB$4</f>
        <v>#DIV/0!</v>
      </c>
      <c r="DK45" s="303" t="e">
        <f>(Tabla292[[#This Row],[Columna4]]*DK$5/$CT$5)*$DB$4</f>
        <v>#DIV/0!</v>
      </c>
      <c r="DL45" s="303" t="e">
        <f>(Tabla292[[#This Row],[Columna4]]*DL$5/$CT$5)*$DB$4</f>
        <v>#DIV/0!</v>
      </c>
      <c r="DM45" s="303" t="e">
        <f>(Tabla292[[#This Row],[Columna4]]*DM$5/$CT$5)*$DB$4</f>
        <v>#DIV/0!</v>
      </c>
      <c r="DN45" s="303" t="e">
        <f>(Tabla292[[#This Row],[Columna4]]*DN$5/$CT$5)*$DB$4</f>
        <v>#DIV/0!</v>
      </c>
      <c r="DP45" s="529"/>
      <c r="DQ45" s="529"/>
      <c r="DR45" s="414" t="e">
        <f>$AS$43</f>
        <v>#DIV/0!</v>
      </c>
      <c r="DS45" s="242" t="str">
        <f>Tabla2[[#This Row],[Columna1]]</f>
        <v>C38</v>
      </c>
      <c r="DT45" s="303" t="e">
        <f>Tabla2926[[#This Row],[Columna3]]/7</f>
        <v>#DIV/0!</v>
      </c>
      <c r="DU45" s="303" t="e">
        <f>Tabla2926[[#This Row],[Columna4]]/4.2</f>
        <v>#DIV/0!</v>
      </c>
      <c r="DV45" s="303" t="e">
        <f>Tabla292[[#This Row],[Columna16]]</f>
        <v>#DIV/0!</v>
      </c>
      <c r="DW45" s="303" t="e">
        <f>(Tabla2926[[#This Row],[Columna4]]*DW$5/$DN$5)*$DV$4</f>
        <v>#DIV/0!</v>
      </c>
      <c r="DX45" s="303" t="e">
        <f>(Tabla2926[[#This Row],[Columna4]]*DX$5/$DN$5)*$DV$4</f>
        <v>#DIV/0!</v>
      </c>
      <c r="DY45" s="303" t="e">
        <f>(Tabla2926[[#This Row],[Columna4]]*DY$5/$DN$5)*$DV$4</f>
        <v>#DIV/0!</v>
      </c>
      <c r="DZ45" s="303" t="e">
        <f>(Tabla2926[[#This Row],[Columna4]]*DZ$5/$DN$5)*$DV$4</f>
        <v>#DIV/0!</v>
      </c>
      <c r="EA45" s="303" t="e">
        <f>(Tabla2926[[#This Row],[Columna4]]*EA$5/$DN$5)*$DV$4</f>
        <v>#DIV/0!</v>
      </c>
      <c r="EB45" s="303" t="e">
        <f>(Tabla2926[[#This Row],[Columna4]]*EB$5/$DN$5)*$DV$4</f>
        <v>#DIV/0!</v>
      </c>
      <c r="EC45" s="303" t="e">
        <f>(Tabla2926[[#This Row],[Columna4]]*EC$5/$DN$5)*$DV$4</f>
        <v>#DIV/0!</v>
      </c>
      <c r="ED45" s="303" t="e">
        <f>(Tabla2926[[#This Row],[Columna4]]*ED$5/$DN$5)*$DV$4</f>
        <v>#DIV/0!</v>
      </c>
      <c r="EE45" s="303" t="e">
        <f>(Tabla2926[[#This Row],[Columna4]]*EE$5/$DN$5)*$DV$4</f>
        <v>#DIV/0!</v>
      </c>
      <c r="EF45" s="303" t="e">
        <f>(Tabla2926[[#This Row],[Columna4]]*EF$5/$DN$5)*$DV$4</f>
        <v>#DIV/0!</v>
      </c>
      <c r="EG45" s="303" t="e">
        <f>(Tabla2926[[#This Row],[Columna4]]*EG$5/$DN$5)*$DV$4</f>
        <v>#DIV/0!</v>
      </c>
      <c r="EH45" s="303" t="e">
        <f>(Tabla2926[[#This Row],[Columna4]]*EH$5/$DN$5)*$DV$4</f>
        <v>#DIV/0!</v>
      </c>
      <c r="EJ45" s="529"/>
      <c r="EK45" s="529"/>
      <c r="EL45" s="414" t="e">
        <f>$AS$43</f>
        <v>#DIV/0!</v>
      </c>
      <c r="EM45" s="242" t="str">
        <f>Tabla2[[#This Row],[Columna1]]</f>
        <v>C38</v>
      </c>
      <c r="EN45" s="303" t="e">
        <f>Tabla29268[[#This Row],[Columna3]]/7</f>
        <v>#DIV/0!</v>
      </c>
      <c r="EO45" s="303" t="e">
        <f>Tabla29268[[#This Row],[Columna4]]/4.2</f>
        <v>#DIV/0!</v>
      </c>
      <c r="EP45" s="303" t="e">
        <f>Tabla2926[[#This Row],[Columna16]]</f>
        <v>#DIV/0!</v>
      </c>
      <c r="EQ45" s="303" t="e">
        <f>(Tabla29268[[#This Row],[Columna4]]*EQ$5/$EH$5)*$EP$4</f>
        <v>#DIV/0!</v>
      </c>
      <c r="ER45" s="303" t="e">
        <f>(Tabla29268[[#This Row],[Columna4]]*ER$5/$EH$5)*$EP$4</f>
        <v>#DIV/0!</v>
      </c>
      <c r="ES45" s="303" t="e">
        <f>(Tabla29268[[#This Row],[Columna4]]*ES$5/$EH$5)*$EP$4</f>
        <v>#DIV/0!</v>
      </c>
      <c r="ET45" s="303" t="e">
        <f>(Tabla29268[[#This Row],[Columna4]]*ET$5/$EH$5)*$EP$4</f>
        <v>#DIV/0!</v>
      </c>
      <c r="EU45" s="303" t="e">
        <f>(Tabla29268[[#This Row],[Columna4]]*EU$5/$EH$5)*$EP$4</f>
        <v>#DIV/0!</v>
      </c>
      <c r="EV45" s="303" t="e">
        <f>(Tabla29268[[#This Row],[Columna4]]*EV$5/$EH$5)*$EP$4</f>
        <v>#DIV/0!</v>
      </c>
      <c r="EW45" s="303" t="e">
        <f>(Tabla29268[[#This Row],[Columna4]]*EW$5/$EH$5)*$EP$4</f>
        <v>#DIV/0!</v>
      </c>
      <c r="EX45" s="303" t="e">
        <f>(Tabla29268[[#This Row],[Columna4]]*EX$5/$EH$5)*$EP$4</f>
        <v>#DIV/0!</v>
      </c>
      <c r="EY45" s="303" t="e">
        <f>(Tabla29268[[#This Row],[Columna4]]*EY$5/$EH$5)*$EP$4</f>
        <v>#DIV/0!</v>
      </c>
      <c r="EZ45" s="303" t="e">
        <f>(Tabla29268[[#This Row],[Columna4]]*EZ$5/$EH$5)*$EP$4</f>
        <v>#DIV/0!</v>
      </c>
      <c r="FA45" s="303" t="e">
        <f>(Tabla29268[[#This Row],[Columna4]]*FA$5/$EH$5)*$EP$4</f>
        <v>#DIV/0!</v>
      </c>
      <c r="FB45" s="303" t="e">
        <f>(Tabla29268[[#This Row],[Columna4]]*FB$5/$EH$5)*$EP$4</f>
        <v>#DIV/0!</v>
      </c>
      <c r="FD45" s="397" t="s">
        <v>47</v>
      </c>
      <c r="FE45" s="399" t="s">
        <v>842</v>
      </c>
      <c r="FF45" s="400">
        <f t="shared" si="212"/>
        <v>0</v>
      </c>
      <c r="FG45" s="400">
        <f t="shared" si="212"/>
        <v>0</v>
      </c>
      <c r="FH45" s="400">
        <f t="shared" si="212"/>
        <v>0</v>
      </c>
      <c r="FI45" s="400">
        <f t="shared" si="212"/>
        <v>0</v>
      </c>
      <c r="FJ45" s="400">
        <f t="shared" si="212"/>
        <v>0</v>
      </c>
      <c r="FK45" s="400">
        <f t="shared" si="212"/>
        <v>0</v>
      </c>
      <c r="FL45" s="400">
        <f t="shared" si="212"/>
        <v>0</v>
      </c>
      <c r="FM45" s="400">
        <f t="shared" si="212"/>
        <v>0</v>
      </c>
      <c r="FN45" s="400">
        <f t="shared" si="212"/>
        <v>0</v>
      </c>
      <c r="FO45" s="400">
        <f t="shared" si="212"/>
        <v>0</v>
      </c>
      <c r="FP45" s="400">
        <f t="shared" si="212"/>
        <v>0</v>
      </c>
      <c r="FQ45" s="400">
        <f t="shared" si="212"/>
        <v>0</v>
      </c>
      <c r="FR45" s="363">
        <f t="shared" si="197"/>
        <v>0</v>
      </c>
      <c r="FS45" s="260" t="e">
        <f t="shared" si="198"/>
        <v>#DIV/0!</v>
      </c>
      <c r="FV45" s="361"/>
      <c r="FW45" s="362"/>
      <c r="FX45" s="362"/>
      <c r="FY45" s="362"/>
      <c r="FZ45" s="362"/>
      <c r="GA45" s="362"/>
      <c r="GB45" s="362"/>
      <c r="GC45" s="362"/>
      <c r="GD45" s="362"/>
      <c r="GE45" s="362"/>
      <c r="GF45" s="362"/>
      <c r="GG45" s="362"/>
      <c r="GH45" s="362"/>
      <c r="GI45" s="362"/>
      <c r="GJ45" s="365"/>
      <c r="HD45" s="60" t="s">
        <v>527</v>
      </c>
      <c r="HE45" s="61"/>
      <c r="HF45" s="62">
        <f>SUM(HF46:HF70)</f>
        <v>0</v>
      </c>
      <c r="HG45" s="63"/>
      <c r="HH45" s="64"/>
      <c r="HI45" s="150"/>
      <c r="HJ45" s="140"/>
      <c r="HM45" s="381" t="s">
        <v>600</v>
      </c>
      <c r="HN45" s="382" t="e">
        <f>HN43+HN35</f>
        <v>#DIV/0!</v>
      </c>
      <c r="HO45" s="354" t="e">
        <f>HN45/HN$9</f>
        <v>#DIV/0!</v>
      </c>
      <c r="HP45" s="382" t="e">
        <f>HP43+HP35</f>
        <v>#DIV/0!</v>
      </c>
      <c r="HQ45" s="354" t="e">
        <f>HP45/HP$9</f>
        <v>#DIV/0!</v>
      </c>
      <c r="HR45" s="382" t="e">
        <f>HR43+HR35</f>
        <v>#DIV/0!</v>
      </c>
      <c r="HS45" s="354" t="e">
        <f>HR45/HR$9</f>
        <v>#DIV/0!</v>
      </c>
      <c r="HT45" s="382" t="e">
        <f>HT43+HT35</f>
        <v>#DIV/0!</v>
      </c>
      <c r="HU45" s="354" t="e">
        <f>HT45/HT$9</f>
        <v>#DIV/0!</v>
      </c>
      <c r="HV45" s="382" t="e">
        <f>HV43+HV35</f>
        <v>#DIV/0!</v>
      </c>
      <c r="HW45" s="354" t="e">
        <f>HV45/HV$9</f>
        <v>#DIV/0!</v>
      </c>
      <c r="HX45" s="382" t="e">
        <f>HX43+HX35</f>
        <v>#DIV/0!</v>
      </c>
      <c r="HY45" s="354" t="e">
        <f>HX45/HX$9</f>
        <v>#DIV/0!</v>
      </c>
      <c r="HZ45" s="382" t="e">
        <f>HZ43+HZ35</f>
        <v>#DIV/0!</v>
      </c>
      <c r="IA45" s="354" t="e">
        <f>HZ45/HZ$9</f>
        <v>#DIV/0!</v>
      </c>
      <c r="IB45" s="382" t="e">
        <f>IB43+IB35</f>
        <v>#DIV/0!</v>
      </c>
      <c r="IC45" s="354" t="e">
        <f>IB45/IB$9</f>
        <v>#DIV/0!</v>
      </c>
      <c r="ID45" s="382" t="e">
        <f>ID43+ID35</f>
        <v>#DIV/0!</v>
      </c>
      <c r="IE45" s="354" t="e">
        <f>ID45/ID$9</f>
        <v>#DIV/0!</v>
      </c>
      <c r="IF45" s="382" t="e">
        <f>IF43+IF35</f>
        <v>#DIV/0!</v>
      </c>
      <c r="IG45" s="354" t="e">
        <f>IF45/IF$9</f>
        <v>#DIV/0!</v>
      </c>
      <c r="IH45" s="382" t="e">
        <f>IH43+IH35</f>
        <v>#DIV/0!</v>
      </c>
      <c r="II45" s="354" t="e">
        <f>IH45/IH$9</f>
        <v>#DIV/0!</v>
      </c>
      <c r="IJ45" s="382" t="e">
        <f>IJ43+IJ35</f>
        <v>#DIV/0!</v>
      </c>
      <c r="IK45" s="354" t="e">
        <f>IJ45/IJ$9</f>
        <v>#DIV/0!</v>
      </c>
      <c r="IL45" s="333" t="e">
        <f>IL43+IL35</f>
        <v>#DIV/0!</v>
      </c>
      <c r="IM45" s="354" t="e">
        <f>IL45/IL$9</f>
        <v>#DIV/0!</v>
      </c>
    </row>
    <row r="46" spans="2:247" ht="14.4" customHeight="1" x14ac:dyDescent="0.3">
      <c r="C46" s="44" t="s">
        <v>751</v>
      </c>
      <c r="D46" s="232" t="e">
        <f>D37/J21</f>
        <v>#DIV/0!</v>
      </c>
      <c r="E46" s="1" t="s">
        <v>745</v>
      </c>
      <c r="AM46" s="412">
        <f t="shared" si="5"/>
        <v>0</v>
      </c>
      <c r="AN46" s="412">
        <f t="shared" si="6"/>
        <v>0</v>
      </c>
      <c r="AO46" s="412">
        <f t="shared" si="7"/>
        <v>0</v>
      </c>
      <c r="AP46" s="412">
        <f t="shared" si="8"/>
        <v>0</v>
      </c>
      <c r="AQ46" s="413" t="s">
        <v>843</v>
      </c>
      <c r="AR46" s="297">
        <f t="shared" si="9"/>
        <v>0</v>
      </c>
      <c r="AS46" s="414" t="e">
        <f t="shared" si="2"/>
        <v>#DIV/0!</v>
      </c>
      <c r="AT46" s="529"/>
      <c r="AU46" s="529"/>
      <c r="AV46" s="299">
        <v>0</v>
      </c>
      <c r="AW46" s="300">
        <v>0</v>
      </c>
      <c r="AX46" s="301"/>
      <c r="BH46" s="529"/>
      <c r="BI46" s="529"/>
      <c r="BJ46" s="414" t="e">
        <f>$AS$44</f>
        <v>#DIV/0!</v>
      </c>
      <c r="BK46" s="242" t="str">
        <f t="shared" si="19"/>
        <v>C39</v>
      </c>
      <c r="BL46" s="303">
        <f t="shared" si="20"/>
        <v>0</v>
      </c>
      <c r="BM46" s="303">
        <f t="shared" si="20"/>
        <v>0</v>
      </c>
      <c r="BN46" s="303">
        <f t="shared" si="20"/>
        <v>0</v>
      </c>
      <c r="BO46" s="303">
        <f t="shared" si="21"/>
        <v>0</v>
      </c>
      <c r="BP46" s="303">
        <f t="shared" si="22"/>
        <v>0</v>
      </c>
      <c r="BQ46" s="303">
        <f t="shared" si="23"/>
        <v>0</v>
      </c>
      <c r="BR46" s="303">
        <f t="shared" si="24"/>
        <v>0</v>
      </c>
      <c r="BS46" s="303">
        <f t="shared" si="25"/>
        <v>0</v>
      </c>
      <c r="BT46" s="303">
        <f t="shared" si="26"/>
        <v>0</v>
      </c>
      <c r="BU46" s="303">
        <f t="shared" si="27"/>
        <v>0</v>
      </c>
      <c r="BV46" s="303">
        <f t="shared" si="28"/>
        <v>0</v>
      </c>
      <c r="BW46" s="303">
        <f t="shared" si="29"/>
        <v>0</v>
      </c>
      <c r="BX46" s="303">
        <f t="shared" si="30"/>
        <v>0</v>
      </c>
      <c r="BY46" s="303">
        <f t="shared" si="31"/>
        <v>0</v>
      </c>
      <c r="BZ46" s="303">
        <f t="shared" si="32"/>
        <v>0</v>
      </c>
      <c r="CB46" s="529"/>
      <c r="CC46" s="529"/>
      <c r="CD46" s="414" t="e">
        <f>$AS$44</f>
        <v>#DIV/0!</v>
      </c>
      <c r="CE46" s="242" t="str">
        <f>Tabla2[[#This Row],[Columna1]]</f>
        <v>C39</v>
      </c>
      <c r="CF46" s="303">
        <f>Tabla29[[#This Row],[Columna3]]/7</f>
        <v>0</v>
      </c>
      <c r="CG46" s="303">
        <f>Tabla29[[#This Row],[Columna4]]/4.2</f>
        <v>0</v>
      </c>
      <c r="CH46" s="303">
        <f>Tabla2[[#This Row],[Columna16]]</f>
        <v>0</v>
      </c>
      <c r="CI46" s="303" t="e">
        <f>(Tabla29[[#This Row],[Columna4]]*CI$5/$BZ$5)*$CH$4</f>
        <v>#DIV/0!</v>
      </c>
      <c r="CJ46" s="303" t="e">
        <f>(Tabla29[[#This Row],[Columna4]]*CJ$5/$BZ$5)*$CH$4</f>
        <v>#DIV/0!</v>
      </c>
      <c r="CK46" s="303" t="e">
        <f>(Tabla29[[#This Row],[Columna4]]*CK$5/$BZ$5)*$CH$4</f>
        <v>#DIV/0!</v>
      </c>
      <c r="CL46" s="303" t="e">
        <f>(Tabla29[[#This Row],[Columna4]]*CL$5/$BZ$5)*$CH$4</f>
        <v>#DIV/0!</v>
      </c>
      <c r="CM46" s="303" t="e">
        <f>(Tabla29[[#This Row],[Columna4]]*CM$5/$BZ$5)*$CH$4</f>
        <v>#DIV/0!</v>
      </c>
      <c r="CN46" s="303" t="e">
        <f>(Tabla29[[#This Row],[Columna4]]*CN$5/$BZ$5)*$CH$4</f>
        <v>#DIV/0!</v>
      </c>
      <c r="CO46" s="303" t="e">
        <f>(Tabla29[[#This Row],[Columna4]]*CO$5/$BZ$5)*$CH$4</f>
        <v>#DIV/0!</v>
      </c>
      <c r="CP46" s="303" t="e">
        <f>(Tabla29[[#This Row],[Columna4]]*CP$5/$BZ$5)*$CH$4</f>
        <v>#DIV/0!</v>
      </c>
      <c r="CQ46" s="303" t="e">
        <f>(Tabla29[[#This Row],[Columna4]]*CQ$5/$BZ$5)*$CH$4</f>
        <v>#DIV/0!</v>
      </c>
      <c r="CR46" s="303" t="e">
        <f>(Tabla29[[#This Row],[Columna4]]*CR$5/$BZ$5)*$CH$4</f>
        <v>#DIV/0!</v>
      </c>
      <c r="CS46" s="303" t="e">
        <f>(Tabla29[[#This Row],[Columna4]]*CS$5/$BZ$5)*$CH$4</f>
        <v>#DIV/0!</v>
      </c>
      <c r="CT46" s="303" t="e">
        <f>(Tabla29[[#This Row],[Columna4]]*CT$5/$BZ$5)*$CH$4</f>
        <v>#DIV/0!</v>
      </c>
      <c r="CV46" s="529"/>
      <c r="CW46" s="529"/>
      <c r="CX46" s="414" t="e">
        <f>$AS$44</f>
        <v>#DIV/0!</v>
      </c>
      <c r="CY46" s="242" t="str">
        <f>Tabla2[[#This Row],[Columna1]]</f>
        <v>C39</v>
      </c>
      <c r="CZ46" s="303" t="e">
        <f>Tabla292[[#This Row],[Columna3]]/7</f>
        <v>#DIV/0!</v>
      </c>
      <c r="DA46" s="303" t="e">
        <f>Tabla292[[#This Row],[Columna4]]/4.2</f>
        <v>#DIV/0!</v>
      </c>
      <c r="DB46" s="303" t="e">
        <f>Tabla29[[#This Row],[Columna16]]</f>
        <v>#DIV/0!</v>
      </c>
      <c r="DC46" s="303" t="e">
        <f>(Tabla292[[#This Row],[Columna4]]*DC$5/$CT$5)*$DB$4</f>
        <v>#DIV/0!</v>
      </c>
      <c r="DD46" s="303" t="e">
        <f>(Tabla292[[#This Row],[Columna4]]*DD$5/$CT$5)*$DB$4</f>
        <v>#DIV/0!</v>
      </c>
      <c r="DE46" s="303" t="e">
        <f>(Tabla292[[#This Row],[Columna4]]*DE$5/$CT$5)*$DB$4</f>
        <v>#DIV/0!</v>
      </c>
      <c r="DF46" s="303" t="e">
        <f>(Tabla292[[#This Row],[Columna4]]*DF$5/$CT$5)*$DB$4</f>
        <v>#DIV/0!</v>
      </c>
      <c r="DG46" s="303" t="e">
        <f>(Tabla292[[#This Row],[Columna4]]*DG$5/$CT$5)*$DB$4</f>
        <v>#DIV/0!</v>
      </c>
      <c r="DH46" s="303" t="e">
        <f>(Tabla292[[#This Row],[Columna4]]*DH$5/$CT$5)*$DB$4</f>
        <v>#DIV/0!</v>
      </c>
      <c r="DI46" s="303" t="e">
        <f>(Tabla292[[#This Row],[Columna4]]*DI$5/$CT$5)*$DB$4</f>
        <v>#DIV/0!</v>
      </c>
      <c r="DJ46" s="303" t="e">
        <f>(Tabla292[[#This Row],[Columna4]]*DJ$5/$CT$5)*$DB$4</f>
        <v>#DIV/0!</v>
      </c>
      <c r="DK46" s="303" t="e">
        <f>(Tabla292[[#This Row],[Columna4]]*DK$5/$CT$5)*$DB$4</f>
        <v>#DIV/0!</v>
      </c>
      <c r="DL46" s="303" t="e">
        <f>(Tabla292[[#This Row],[Columna4]]*DL$5/$CT$5)*$DB$4</f>
        <v>#DIV/0!</v>
      </c>
      <c r="DM46" s="303" t="e">
        <f>(Tabla292[[#This Row],[Columna4]]*DM$5/$CT$5)*$DB$4</f>
        <v>#DIV/0!</v>
      </c>
      <c r="DN46" s="303" t="e">
        <f>(Tabla292[[#This Row],[Columna4]]*DN$5/$CT$5)*$DB$4</f>
        <v>#DIV/0!</v>
      </c>
      <c r="DP46" s="529"/>
      <c r="DQ46" s="529"/>
      <c r="DR46" s="414" t="e">
        <f>$AS$44</f>
        <v>#DIV/0!</v>
      </c>
      <c r="DS46" s="242" t="str">
        <f>Tabla2[[#This Row],[Columna1]]</f>
        <v>C39</v>
      </c>
      <c r="DT46" s="303" t="e">
        <f>Tabla2926[[#This Row],[Columna3]]/7</f>
        <v>#DIV/0!</v>
      </c>
      <c r="DU46" s="303" t="e">
        <f>Tabla2926[[#This Row],[Columna4]]/4.2</f>
        <v>#DIV/0!</v>
      </c>
      <c r="DV46" s="303" t="e">
        <f>Tabla292[[#This Row],[Columna16]]</f>
        <v>#DIV/0!</v>
      </c>
      <c r="DW46" s="303" t="e">
        <f>(Tabla2926[[#This Row],[Columna4]]*DW$5/$DN$5)*$DV$4</f>
        <v>#DIV/0!</v>
      </c>
      <c r="DX46" s="303" t="e">
        <f>(Tabla2926[[#This Row],[Columna4]]*DX$5/$DN$5)*$DV$4</f>
        <v>#DIV/0!</v>
      </c>
      <c r="DY46" s="303" t="e">
        <f>(Tabla2926[[#This Row],[Columna4]]*DY$5/$DN$5)*$DV$4</f>
        <v>#DIV/0!</v>
      </c>
      <c r="DZ46" s="303" t="e">
        <f>(Tabla2926[[#This Row],[Columna4]]*DZ$5/$DN$5)*$DV$4</f>
        <v>#DIV/0!</v>
      </c>
      <c r="EA46" s="303" t="e">
        <f>(Tabla2926[[#This Row],[Columna4]]*EA$5/$DN$5)*$DV$4</f>
        <v>#DIV/0!</v>
      </c>
      <c r="EB46" s="303" t="e">
        <f>(Tabla2926[[#This Row],[Columna4]]*EB$5/$DN$5)*$DV$4</f>
        <v>#DIV/0!</v>
      </c>
      <c r="EC46" s="303" t="e">
        <f>(Tabla2926[[#This Row],[Columna4]]*EC$5/$DN$5)*$DV$4</f>
        <v>#DIV/0!</v>
      </c>
      <c r="ED46" s="303" t="e">
        <f>(Tabla2926[[#This Row],[Columna4]]*ED$5/$DN$5)*$DV$4</f>
        <v>#DIV/0!</v>
      </c>
      <c r="EE46" s="303" t="e">
        <f>(Tabla2926[[#This Row],[Columna4]]*EE$5/$DN$5)*$DV$4</f>
        <v>#DIV/0!</v>
      </c>
      <c r="EF46" s="303" t="e">
        <f>(Tabla2926[[#This Row],[Columna4]]*EF$5/$DN$5)*$DV$4</f>
        <v>#DIV/0!</v>
      </c>
      <c r="EG46" s="303" t="e">
        <f>(Tabla2926[[#This Row],[Columna4]]*EG$5/$DN$5)*$DV$4</f>
        <v>#DIV/0!</v>
      </c>
      <c r="EH46" s="303" t="e">
        <f>(Tabla2926[[#This Row],[Columna4]]*EH$5/$DN$5)*$DV$4</f>
        <v>#DIV/0!</v>
      </c>
      <c r="EJ46" s="529"/>
      <c r="EK46" s="529"/>
      <c r="EL46" s="414" t="e">
        <f>$AS$44</f>
        <v>#DIV/0!</v>
      </c>
      <c r="EM46" s="242" t="str">
        <f>Tabla2[[#This Row],[Columna1]]</f>
        <v>C39</v>
      </c>
      <c r="EN46" s="303" t="e">
        <f>Tabla29268[[#This Row],[Columna3]]/7</f>
        <v>#DIV/0!</v>
      </c>
      <c r="EO46" s="303" t="e">
        <f>Tabla29268[[#This Row],[Columna4]]/4.2</f>
        <v>#DIV/0!</v>
      </c>
      <c r="EP46" s="303" t="e">
        <f>Tabla2926[[#This Row],[Columna16]]</f>
        <v>#DIV/0!</v>
      </c>
      <c r="EQ46" s="303" t="e">
        <f>(Tabla29268[[#This Row],[Columna4]]*EQ$5/$EH$5)*$EP$4</f>
        <v>#DIV/0!</v>
      </c>
      <c r="ER46" s="303" t="e">
        <f>(Tabla29268[[#This Row],[Columna4]]*ER$5/$EH$5)*$EP$4</f>
        <v>#DIV/0!</v>
      </c>
      <c r="ES46" s="303" t="e">
        <f>(Tabla29268[[#This Row],[Columna4]]*ES$5/$EH$5)*$EP$4</f>
        <v>#DIV/0!</v>
      </c>
      <c r="ET46" s="303" t="e">
        <f>(Tabla29268[[#This Row],[Columna4]]*ET$5/$EH$5)*$EP$4</f>
        <v>#DIV/0!</v>
      </c>
      <c r="EU46" s="303" t="e">
        <f>(Tabla29268[[#This Row],[Columna4]]*EU$5/$EH$5)*$EP$4</f>
        <v>#DIV/0!</v>
      </c>
      <c r="EV46" s="303" t="e">
        <f>(Tabla29268[[#This Row],[Columna4]]*EV$5/$EH$5)*$EP$4</f>
        <v>#DIV/0!</v>
      </c>
      <c r="EW46" s="303" t="e">
        <f>(Tabla29268[[#This Row],[Columna4]]*EW$5/$EH$5)*$EP$4</f>
        <v>#DIV/0!</v>
      </c>
      <c r="EX46" s="303" t="e">
        <f>(Tabla29268[[#This Row],[Columna4]]*EX$5/$EH$5)*$EP$4</f>
        <v>#DIV/0!</v>
      </c>
      <c r="EY46" s="303" t="e">
        <f>(Tabla29268[[#This Row],[Columna4]]*EY$5/$EH$5)*$EP$4</f>
        <v>#DIV/0!</v>
      </c>
      <c r="EZ46" s="303" t="e">
        <f>(Tabla29268[[#This Row],[Columna4]]*EZ$5/$EH$5)*$EP$4</f>
        <v>#DIV/0!</v>
      </c>
      <c r="FA46" s="303" t="e">
        <f>(Tabla29268[[#This Row],[Columna4]]*FA$5/$EH$5)*$EP$4</f>
        <v>#DIV/0!</v>
      </c>
      <c r="FB46" s="303" t="e">
        <f>(Tabla29268[[#This Row],[Columna4]]*FB$5/$EH$5)*$EP$4</f>
        <v>#DIV/0!</v>
      </c>
      <c r="FD46" s="397" t="s">
        <v>49</v>
      </c>
      <c r="FE46" s="399" t="s">
        <v>844</v>
      </c>
      <c r="FF46" s="400">
        <f t="shared" si="212"/>
        <v>0</v>
      </c>
      <c r="FG46" s="400">
        <f t="shared" si="212"/>
        <v>0</v>
      </c>
      <c r="FH46" s="400">
        <f t="shared" si="212"/>
        <v>0</v>
      </c>
      <c r="FI46" s="400">
        <f t="shared" si="212"/>
        <v>0</v>
      </c>
      <c r="FJ46" s="400">
        <f t="shared" si="212"/>
        <v>0</v>
      </c>
      <c r="FK46" s="400">
        <f t="shared" si="212"/>
        <v>0</v>
      </c>
      <c r="FL46" s="400">
        <f t="shared" si="212"/>
        <v>0</v>
      </c>
      <c r="FM46" s="400">
        <f t="shared" si="212"/>
        <v>0</v>
      </c>
      <c r="FN46" s="400">
        <f t="shared" si="212"/>
        <v>0</v>
      </c>
      <c r="FO46" s="400">
        <f t="shared" si="212"/>
        <v>0</v>
      </c>
      <c r="FP46" s="400">
        <f t="shared" si="212"/>
        <v>0</v>
      </c>
      <c r="FQ46" s="400">
        <f t="shared" si="212"/>
        <v>0</v>
      </c>
      <c r="FR46" s="363">
        <f t="shared" si="197"/>
        <v>0</v>
      </c>
      <c r="FS46" s="260" t="e">
        <f t="shared" si="198"/>
        <v>#DIV/0!</v>
      </c>
      <c r="FV46" s="357" t="s">
        <v>249</v>
      </c>
      <c r="FW46" s="366" t="e">
        <f>FW39*GD32</f>
        <v>#DIV/0!</v>
      </c>
      <c r="FX46" s="366" t="e">
        <f>FX39*GD32</f>
        <v>#DIV/0!</v>
      </c>
      <c r="FY46" s="366" t="e">
        <f>FY39*GD32</f>
        <v>#DIV/0!</v>
      </c>
      <c r="FZ46" s="366" t="e">
        <f>FZ39*GD32</f>
        <v>#DIV/0!</v>
      </c>
      <c r="GA46" s="366" t="e">
        <f>GA39*GD32</f>
        <v>#DIV/0!</v>
      </c>
      <c r="GB46" s="366" t="e">
        <f>GB39*GD32</f>
        <v>#DIV/0!</v>
      </c>
      <c r="GC46" s="366" t="e">
        <f>GC39*GD32</f>
        <v>#DIV/0!</v>
      </c>
      <c r="GD46" s="366" t="e">
        <f>GD39*GD32</f>
        <v>#DIV/0!</v>
      </c>
      <c r="GE46" s="366" t="e">
        <f>GE39*GD32</f>
        <v>#DIV/0!</v>
      </c>
      <c r="GF46" s="366" t="e">
        <f>GF39*GD32</f>
        <v>#DIV/0!</v>
      </c>
      <c r="GG46" s="366" t="e">
        <f>GG39*GD32</f>
        <v>#DIV/0!</v>
      </c>
      <c r="GH46" s="366" t="e">
        <f>GH39*GD32</f>
        <v>#DIV/0!</v>
      </c>
      <c r="GI46" s="309" t="e">
        <f t="shared" ref="GI46" si="250">SUM(FW46:GH46)</f>
        <v>#DIV/0!</v>
      </c>
      <c r="GJ46" s="262" t="e">
        <f>GI46/$GI$6</f>
        <v>#DIV/0!</v>
      </c>
      <c r="HD46" s="65" t="s">
        <v>528</v>
      </c>
      <c r="HE46" s="66">
        <v>0</v>
      </c>
      <c r="HF46" s="67">
        <f t="shared" ref="HF46:HF70" si="251">HE46*HG46</f>
        <v>0</v>
      </c>
      <c r="HG46" s="68">
        <f t="shared" ref="HG46:HG70" si="252">HI46*HH46</f>
        <v>0</v>
      </c>
      <c r="HH46" s="69">
        <v>1</v>
      </c>
      <c r="HI46" s="367">
        <v>0</v>
      </c>
      <c r="HJ46" s="140"/>
      <c r="HM46" s="283"/>
      <c r="HN46" s="316"/>
      <c r="HO46" s="285"/>
      <c r="HP46" s="316"/>
      <c r="HQ46" s="285"/>
      <c r="HR46" s="316"/>
      <c r="HS46" s="285"/>
      <c r="HT46" s="316"/>
      <c r="HU46" s="285"/>
      <c r="HV46" s="316"/>
      <c r="HW46" s="285"/>
      <c r="HX46" s="316"/>
      <c r="HY46" s="285"/>
      <c r="HZ46" s="316"/>
      <c r="IA46" s="285"/>
      <c r="IB46" s="316"/>
      <c r="IC46" s="285"/>
      <c r="ID46" s="316"/>
      <c r="IE46" s="285"/>
      <c r="IF46" s="316"/>
      <c r="IG46" s="285"/>
      <c r="IH46" s="316"/>
      <c r="II46" s="285"/>
      <c r="IJ46" s="316"/>
      <c r="IK46" s="285"/>
      <c r="IL46" s="283"/>
      <c r="IM46" s="285"/>
    </row>
    <row r="47" spans="2:247" ht="14.4" customHeight="1" x14ac:dyDescent="0.3">
      <c r="C47" s="44" t="s">
        <v>742</v>
      </c>
      <c r="D47" s="233">
        <v>45</v>
      </c>
      <c r="E47" s="1" t="s">
        <v>743</v>
      </c>
      <c r="I47" s="1">
        <f>D48/I48</f>
        <v>2.5</v>
      </c>
      <c r="AM47" s="412">
        <f t="shared" si="5"/>
        <v>0</v>
      </c>
      <c r="AN47" s="412">
        <f t="shared" si="6"/>
        <v>0</v>
      </c>
      <c r="AO47" s="412">
        <f t="shared" si="7"/>
        <v>0</v>
      </c>
      <c r="AP47" s="412">
        <f t="shared" si="8"/>
        <v>0</v>
      </c>
      <c r="AQ47" s="413" t="s">
        <v>845</v>
      </c>
      <c r="AR47" s="297">
        <f t="shared" si="9"/>
        <v>0</v>
      </c>
      <c r="AS47" s="414" t="e">
        <f t="shared" si="2"/>
        <v>#DIV/0!</v>
      </c>
      <c r="AT47" s="529"/>
      <c r="AU47" s="529"/>
      <c r="AV47" s="299">
        <v>0</v>
      </c>
      <c r="AW47" s="300">
        <v>0</v>
      </c>
      <c r="AX47" s="301"/>
      <c r="BH47" s="529"/>
      <c r="BI47" s="529"/>
      <c r="BJ47" s="414" t="e">
        <f>$AS$45</f>
        <v>#DIV/0!</v>
      </c>
      <c r="BK47" s="242" t="str">
        <f t="shared" si="19"/>
        <v>C40</v>
      </c>
      <c r="BL47" s="303">
        <f t="shared" si="20"/>
        <v>0</v>
      </c>
      <c r="BM47" s="303">
        <f t="shared" si="20"/>
        <v>0</v>
      </c>
      <c r="BN47" s="303">
        <f t="shared" si="20"/>
        <v>0</v>
      </c>
      <c r="BO47" s="303">
        <f t="shared" si="21"/>
        <v>0</v>
      </c>
      <c r="BP47" s="303">
        <f t="shared" si="22"/>
        <v>0</v>
      </c>
      <c r="BQ47" s="303">
        <f t="shared" si="23"/>
        <v>0</v>
      </c>
      <c r="BR47" s="303">
        <f t="shared" si="24"/>
        <v>0</v>
      </c>
      <c r="BS47" s="303">
        <f t="shared" si="25"/>
        <v>0</v>
      </c>
      <c r="BT47" s="303">
        <f t="shared" si="26"/>
        <v>0</v>
      </c>
      <c r="BU47" s="303">
        <f t="shared" si="27"/>
        <v>0</v>
      </c>
      <c r="BV47" s="303">
        <f t="shared" si="28"/>
        <v>0</v>
      </c>
      <c r="BW47" s="303">
        <f t="shared" si="29"/>
        <v>0</v>
      </c>
      <c r="BX47" s="303">
        <f t="shared" si="30"/>
        <v>0</v>
      </c>
      <c r="BY47" s="303">
        <f t="shared" si="31"/>
        <v>0</v>
      </c>
      <c r="BZ47" s="303">
        <f t="shared" si="32"/>
        <v>0</v>
      </c>
      <c r="CB47" s="529"/>
      <c r="CC47" s="529"/>
      <c r="CD47" s="414" t="e">
        <f>$AS$45</f>
        <v>#DIV/0!</v>
      </c>
      <c r="CE47" s="242" t="str">
        <f>Tabla2[[#This Row],[Columna1]]</f>
        <v>C40</v>
      </c>
      <c r="CF47" s="303">
        <f>Tabla29[[#This Row],[Columna3]]/7</f>
        <v>0</v>
      </c>
      <c r="CG47" s="303">
        <f>Tabla29[[#This Row],[Columna4]]/4.2</f>
        <v>0</v>
      </c>
      <c r="CH47" s="303">
        <f>Tabla2[[#This Row],[Columna16]]</f>
        <v>0</v>
      </c>
      <c r="CI47" s="303" t="e">
        <f>(Tabla29[[#This Row],[Columna4]]*CI$5/$BZ$5)*$CH$4</f>
        <v>#DIV/0!</v>
      </c>
      <c r="CJ47" s="303" t="e">
        <f>(Tabla29[[#This Row],[Columna4]]*CJ$5/$BZ$5)*$CH$4</f>
        <v>#DIV/0!</v>
      </c>
      <c r="CK47" s="303" t="e">
        <f>(Tabla29[[#This Row],[Columna4]]*CK$5/$BZ$5)*$CH$4</f>
        <v>#DIV/0!</v>
      </c>
      <c r="CL47" s="303" t="e">
        <f>(Tabla29[[#This Row],[Columna4]]*CL$5/$BZ$5)*$CH$4</f>
        <v>#DIV/0!</v>
      </c>
      <c r="CM47" s="303" t="e">
        <f>(Tabla29[[#This Row],[Columna4]]*CM$5/$BZ$5)*$CH$4</f>
        <v>#DIV/0!</v>
      </c>
      <c r="CN47" s="303" t="e">
        <f>(Tabla29[[#This Row],[Columna4]]*CN$5/$BZ$5)*$CH$4</f>
        <v>#DIV/0!</v>
      </c>
      <c r="CO47" s="303" t="e">
        <f>(Tabla29[[#This Row],[Columna4]]*CO$5/$BZ$5)*$CH$4</f>
        <v>#DIV/0!</v>
      </c>
      <c r="CP47" s="303" t="e">
        <f>(Tabla29[[#This Row],[Columna4]]*CP$5/$BZ$5)*$CH$4</f>
        <v>#DIV/0!</v>
      </c>
      <c r="CQ47" s="303" t="e">
        <f>(Tabla29[[#This Row],[Columna4]]*CQ$5/$BZ$5)*$CH$4</f>
        <v>#DIV/0!</v>
      </c>
      <c r="CR47" s="303" t="e">
        <f>(Tabla29[[#This Row],[Columna4]]*CR$5/$BZ$5)*$CH$4</f>
        <v>#DIV/0!</v>
      </c>
      <c r="CS47" s="303" t="e">
        <f>(Tabla29[[#This Row],[Columna4]]*CS$5/$BZ$5)*$CH$4</f>
        <v>#DIV/0!</v>
      </c>
      <c r="CT47" s="303" t="e">
        <f>(Tabla29[[#This Row],[Columna4]]*CT$5/$BZ$5)*$CH$4</f>
        <v>#DIV/0!</v>
      </c>
      <c r="CV47" s="529"/>
      <c r="CW47" s="529"/>
      <c r="CX47" s="414" t="e">
        <f>$AS$45</f>
        <v>#DIV/0!</v>
      </c>
      <c r="CY47" s="242" t="str">
        <f>Tabla2[[#This Row],[Columna1]]</f>
        <v>C40</v>
      </c>
      <c r="CZ47" s="303" t="e">
        <f>Tabla292[[#This Row],[Columna3]]/7</f>
        <v>#DIV/0!</v>
      </c>
      <c r="DA47" s="303" t="e">
        <f>Tabla292[[#This Row],[Columna4]]/4.2</f>
        <v>#DIV/0!</v>
      </c>
      <c r="DB47" s="303" t="e">
        <f>Tabla29[[#This Row],[Columna16]]</f>
        <v>#DIV/0!</v>
      </c>
      <c r="DC47" s="303" t="e">
        <f>(Tabla292[[#This Row],[Columna4]]*DC$5/$CT$5)*$DB$4</f>
        <v>#DIV/0!</v>
      </c>
      <c r="DD47" s="303" t="e">
        <f>(Tabla292[[#This Row],[Columna4]]*DD$5/$CT$5)*$DB$4</f>
        <v>#DIV/0!</v>
      </c>
      <c r="DE47" s="303" t="e">
        <f>(Tabla292[[#This Row],[Columna4]]*DE$5/$CT$5)*$DB$4</f>
        <v>#DIV/0!</v>
      </c>
      <c r="DF47" s="303" t="e">
        <f>(Tabla292[[#This Row],[Columna4]]*DF$5/$CT$5)*$DB$4</f>
        <v>#DIV/0!</v>
      </c>
      <c r="DG47" s="303" t="e">
        <f>(Tabla292[[#This Row],[Columna4]]*DG$5/$CT$5)*$DB$4</f>
        <v>#DIV/0!</v>
      </c>
      <c r="DH47" s="303" t="e">
        <f>(Tabla292[[#This Row],[Columna4]]*DH$5/$CT$5)*$DB$4</f>
        <v>#DIV/0!</v>
      </c>
      <c r="DI47" s="303" t="e">
        <f>(Tabla292[[#This Row],[Columna4]]*DI$5/$CT$5)*$DB$4</f>
        <v>#DIV/0!</v>
      </c>
      <c r="DJ47" s="303" t="e">
        <f>(Tabla292[[#This Row],[Columna4]]*DJ$5/$CT$5)*$DB$4</f>
        <v>#DIV/0!</v>
      </c>
      <c r="DK47" s="303" t="e">
        <f>(Tabla292[[#This Row],[Columna4]]*DK$5/$CT$5)*$DB$4</f>
        <v>#DIV/0!</v>
      </c>
      <c r="DL47" s="303" t="e">
        <f>(Tabla292[[#This Row],[Columna4]]*DL$5/$CT$5)*$DB$4</f>
        <v>#DIV/0!</v>
      </c>
      <c r="DM47" s="303" t="e">
        <f>(Tabla292[[#This Row],[Columna4]]*DM$5/$CT$5)*$DB$4</f>
        <v>#DIV/0!</v>
      </c>
      <c r="DN47" s="303" t="e">
        <f>(Tabla292[[#This Row],[Columna4]]*DN$5/$CT$5)*$DB$4</f>
        <v>#DIV/0!</v>
      </c>
      <c r="DP47" s="529"/>
      <c r="DQ47" s="529"/>
      <c r="DR47" s="414" t="e">
        <f>$AS$45</f>
        <v>#DIV/0!</v>
      </c>
      <c r="DS47" s="242" t="str">
        <f>Tabla2[[#This Row],[Columna1]]</f>
        <v>C40</v>
      </c>
      <c r="DT47" s="303" t="e">
        <f>Tabla2926[[#This Row],[Columna3]]/7</f>
        <v>#DIV/0!</v>
      </c>
      <c r="DU47" s="303" t="e">
        <f>Tabla2926[[#This Row],[Columna4]]/4.2</f>
        <v>#DIV/0!</v>
      </c>
      <c r="DV47" s="303" t="e">
        <f>Tabla292[[#This Row],[Columna16]]</f>
        <v>#DIV/0!</v>
      </c>
      <c r="DW47" s="303" t="e">
        <f>(Tabla2926[[#This Row],[Columna4]]*DW$5/$DN$5)*$DV$4</f>
        <v>#DIV/0!</v>
      </c>
      <c r="DX47" s="303" t="e">
        <f>(Tabla2926[[#This Row],[Columna4]]*DX$5/$DN$5)*$DV$4</f>
        <v>#DIV/0!</v>
      </c>
      <c r="DY47" s="303" t="e">
        <f>(Tabla2926[[#This Row],[Columna4]]*DY$5/$DN$5)*$DV$4</f>
        <v>#DIV/0!</v>
      </c>
      <c r="DZ47" s="303" t="e">
        <f>(Tabla2926[[#This Row],[Columna4]]*DZ$5/$DN$5)*$DV$4</f>
        <v>#DIV/0!</v>
      </c>
      <c r="EA47" s="303" t="e">
        <f>(Tabla2926[[#This Row],[Columna4]]*EA$5/$DN$5)*$DV$4</f>
        <v>#DIV/0!</v>
      </c>
      <c r="EB47" s="303" t="e">
        <f>(Tabla2926[[#This Row],[Columna4]]*EB$5/$DN$5)*$DV$4</f>
        <v>#DIV/0!</v>
      </c>
      <c r="EC47" s="303" t="e">
        <f>(Tabla2926[[#This Row],[Columna4]]*EC$5/$DN$5)*$DV$4</f>
        <v>#DIV/0!</v>
      </c>
      <c r="ED47" s="303" t="e">
        <f>(Tabla2926[[#This Row],[Columna4]]*ED$5/$DN$5)*$DV$4</f>
        <v>#DIV/0!</v>
      </c>
      <c r="EE47" s="303" t="e">
        <f>(Tabla2926[[#This Row],[Columna4]]*EE$5/$DN$5)*$DV$4</f>
        <v>#DIV/0!</v>
      </c>
      <c r="EF47" s="303" t="e">
        <f>(Tabla2926[[#This Row],[Columna4]]*EF$5/$DN$5)*$DV$4</f>
        <v>#DIV/0!</v>
      </c>
      <c r="EG47" s="303" t="e">
        <f>(Tabla2926[[#This Row],[Columna4]]*EG$5/$DN$5)*$DV$4</f>
        <v>#DIV/0!</v>
      </c>
      <c r="EH47" s="303" t="e">
        <f>(Tabla2926[[#This Row],[Columna4]]*EH$5/$DN$5)*$DV$4</f>
        <v>#DIV/0!</v>
      </c>
      <c r="EJ47" s="529"/>
      <c r="EK47" s="529"/>
      <c r="EL47" s="414" t="e">
        <f>$AS$45</f>
        <v>#DIV/0!</v>
      </c>
      <c r="EM47" s="242" t="str">
        <f>Tabla2[[#This Row],[Columna1]]</f>
        <v>C40</v>
      </c>
      <c r="EN47" s="303" t="e">
        <f>Tabla29268[[#This Row],[Columna3]]/7</f>
        <v>#DIV/0!</v>
      </c>
      <c r="EO47" s="303" t="e">
        <f>Tabla29268[[#This Row],[Columna4]]/4.2</f>
        <v>#DIV/0!</v>
      </c>
      <c r="EP47" s="303" t="e">
        <f>Tabla2926[[#This Row],[Columna16]]</f>
        <v>#DIV/0!</v>
      </c>
      <c r="EQ47" s="303" t="e">
        <f>(Tabla29268[[#This Row],[Columna4]]*EQ$5/$EH$5)*$EP$4</f>
        <v>#DIV/0!</v>
      </c>
      <c r="ER47" s="303" t="e">
        <f>(Tabla29268[[#This Row],[Columna4]]*ER$5/$EH$5)*$EP$4</f>
        <v>#DIV/0!</v>
      </c>
      <c r="ES47" s="303" t="e">
        <f>(Tabla29268[[#This Row],[Columna4]]*ES$5/$EH$5)*$EP$4</f>
        <v>#DIV/0!</v>
      </c>
      <c r="ET47" s="303" t="e">
        <f>(Tabla29268[[#This Row],[Columna4]]*ET$5/$EH$5)*$EP$4</f>
        <v>#DIV/0!</v>
      </c>
      <c r="EU47" s="303" t="e">
        <f>(Tabla29268[[#This Row],[Columna4]]*EU$5/$EH$5)*$EP$4</f>
        <v>#DIV/0!</v>
      </c>
      <c r="EV47" s="303" t="e">
        <f>(Tabla29268[[#This Row],[Columna4]]*EV$5/$EH$5)*$EP$4</f>
        <v>#DIV/0!</v>
      </c>
      <c r="EW47" s="303" t="e">
        <f>(Tabla29268[[#This Row],[Columna4]]*EW$5/$EH$5)*$EP$4</f>
        <v>#DIV/0!</v>
      </c>
      <c r="EX47" s="303" t="e">
        <f>(Tabla29268[[#This Row],[Columna4]]*EX$5/$EH$5)*$EP$4</f>
        <v>#DIV/0!</v>
      </c>
      <c r="EY47" s="303" t="e">
        <f>(Tabla29268[[#This Row],[Columna4]]*EY$5/$EH$5)*$EP$4</f>
        <v>#DIV/0!</v>
      </c>
      <c r="EZ47" s="303" t="e">
        <f>(Tabla29268[[#This Row],[Columna4]]*EZ$5/$EH$5)*$EP$4</f>
        <v>#DIV/0!</v>
      </c>
      <c r="FA47" s="303" t="e">
        <f>(Tabla29268[[#This Row],[Columna4]]*FA$5/$EH$5)*$EP$4</f>
        <v>#DIV/0!</v>
      </c>
      <c r="FB47" s="303" t="e">
        <f>(Tabla29268[[#This Row],[Columna4]]*FB$5/$EH$5)*$EP$4</f>
        <v>#DIV/0!</v>
      </c>
      <c r="FD47" s="397" t="s">
        <v>51</v>
      </c>
      <c r="FE47" s="399" t="s">
        <v>48</v>
      </c>
      <c r="FF47" s="400">
        <f t="shared" si="212"/>
        <v>0</v>
      </c>
      <c r="FG47" s="400">
        <f t="shared" si="212"/>
        <v>0</v>
      </c>
      <c r="FH47" s="400">
        <f t="shared" si="212"/>
        <v>0</v>
      </c>
      <c r="FI47" s="400">
        <f t="shared" si="212"/>
        <v>0</v>
      </c>
      <c r="FJ47" s="400">
        <f t="shared" si="212"/>
        <v>315.07751333004654</v>
      </c>
      <c r="FK47" s="400">
        <f t="shared" si="212"/>
        <v>0</v>
      </c>
      <c r="FL47" s="400">
        <f t="shared" si="212"/>
        <v>0</v>
      </c>
      <c r="FM47" s="400">
        <f t="shared" si="212"/>
        <v>0</v>
      </c>
      <c r="FN47" s="400">
        <f t="shared" si="212"/>
        <v>0</v>
      </c>
      <c r="FO47" s="400">
        <f t="shared" si="212"/>
        <v>0</v>
      </c>
      <c r="FP47" s="400">
        <f t="shared" si="212"/>
        <v>0</v>
      </c>
      <c r="FQ47" s="400">
        <f t="shared" si="212"/>
        <v>0</v>
      </c>
      <c r="FR47" s="363">
        <f t="shared" si="197"/>
        <v>315.07751333004654</v>
      </c>
      <c r="FS47" s="260" t="e">
        <f t="shared" si="198"/>
        <v>#DIV/0!</v>
      </c>
      <c r="FV47" s="361"/>
      <c r="FW47" s="362"/>
      <c r="FX47" s="362"/>
      <c r="FY47" s="362"/>
      <c r="FZ47" s="362"/>
      <c r="GA47" s="362"/>
      <c r="GB47" s="362"/>
      <c r="GC47" s="362"/>
      <c r="GD47" s="362"/>
      <c r="GE47" s="362"/>
      <c r="GF47" s="362"/>
      <c r="GG47" s="362"/>
      <c r="GH47" s="362"/>
      <c r="GI47" s="362"/>
      <c r="GJ47" s="365"/>
      <c r="HD47" s="65" t="s">
        <v>524</v>
      </c>
      <c r="HE47" s="66">
        <v>0</v>
      </c>
      <c r="HF47" s="67">
        <f t="shared" si="251"/>
        <v>0</v>
      </c>
      <c r="HG47" s="68">
        <f t="shared" si="252"/>
        <v>0</v>
      </c>
      <c r="HH47" s="69">
        <v>1</v>
      </c>
      <c r="HI47" s="367">
        <v>0</v>
      </c>
      <c r="HJ47" s="140"/>
      <c r="HM47" s="420" t="s">
        <v>601</v>
      </c>
      <c r="HN47" s="421" t="e">
        <f>HN19+HN27+HN31+HN33+HN35+HN41</f>
        <v>#DIV/0!</v>
      </c>
      <c r="HO47" s="354" t="e">
        <f>HN47/HN$9</f>
        <v>#DIV/0!</v>
      </c>
      <c r="HP47" s="421" t="e">
        <f>HP19+HP27+HP31+HP33+HP35+HP41</f>
        <v>#DIV/0!</v>
      </c>
      <c r="HQ47" s="354" t="e">
        <f>HP47/HP$9</f>
        <v>#DIV/0!</v>
      </c>
      <c r="HR47" s="421" t="e">
        <f>HR19+HR27+HR31+HR33+HR35+HR41</f>
        <v>#DIV/0!</v>
      </c>
      <c r="HS47" s="354" t="e">
        <f>HR47/HR$9</f>
        <v>#DIV/0!</v>
      </c>
      <c r="HT47" s="421" t="e">
        <f>HT19+HT27+HT31+HT33+HT35+HT41</f>
        <v>#DIV/0!</v>
      </c>
      <c r="HU47" s="354" t="e">
        <f>HT47/HT$9</f>
        <v>#DIV/0!</v>
      </c>
      <c r="HV47" s="421" t="e">
        <f>HV19+HV27+HV31+HV33+HV35+HV41</f>
        <v>#DIV/0!</v>
      </c>
      <c r="HW47" s="354" t="e">
        <f>HV47/HV$9</f>
        <v>#DIV/0!</v>
      </c>
      <c r="HX47" s="421" t="e">
        <f>HX19+HX27+HX31+HX33+HX35+HX41</f>
        <v>#DIV/0!</v>
      </c>
      <c r="HY47" s="354" t="e">
        <f>HX47/HX$9</f>
        <v>#DIV/0!</v>
      </c>
      <c r="HZ47" s="421" t="e">
        <f>HZ19+HZ27+HZ31+HZ33+HZ35+HZ41</f>
        <v>#DIV/0!</v>
      </c>
      <c r="IA47" s="354" t="e">
        <f>HZ47/HZ$9</f>
        <v>#DIV/0!</v>
      </c>
      <c r="IB47" s="421" t="e">
        <f>IB19+IB27+IB31+IB33+IB35+IB41</f>
        <v>#DIV/0!</v>
      </c>
      <c r="IC47" s="354" t="e">
        <f>IB47/IB$9</f>
        <v>#DIV/0!</v>
      </c>
      <c r="ID47" s="421" t="e">
        <f>ID19+ID27+ID31+ID33+ID35+ID41</f>
        <v>#DIV/0!</v>
      </c>
      <c r="IE47" s="354" t="e">
        <f>ID47/ID$9</f>
        <v>#DIV/0!</v>
      </c>
      <c r="IF47" s="421" t="e">
        <f>IF19+IF27+IF31+IF33+IF35+IF41</f>
        <v>#DIV/0!</v>
      </c>
      <c r="IG47" s="354" t="e">
        <f>IF47/IF$9</f>
        <v>#DIV/0!</v>
      </c>
      <c r="IH47" s="421" t="e">
        <f>IH19+IH27+IH31+IH33+IH35+IH41</f>
        <v>#DIV/0!</v>
      </c>
      <c r="II47" s="354" t="e">
        <f>IH47/IH$9</f>
        <v>#DIV/0!</v>
      </c>
      <c r="IJ47" s="421" t="e">
        <f>IJ19+IJ27+IJ31+IJ33+IJ35+IJ41</f>
        <v>#DIV/0!</v>
      </c>
      <c r="IK47" s="354" t="e">
        <f>IJ47/IJ$9</f>
        <v>#DIV/0!</v>
      </c>
      <c r="IL47" s="421" t="e">
        <f>IL19+IL27+IL31+IL33+IL35+IL41</f>
        <v>#DIV/0!</v>
      </c>
      <c r="IM47" s="354" t="e">
        <f>IL47/IL$9</f>
        <v>#DIV/0!</v>
      </c>
    </row>
    <row r="48" spans="2:247" ht="14.4" customHeight="1" x14ac:dyDescent="0.3">
      <c r="C48" s="44" t="s">
        <v>744</v>
      </c>
      <c r="D48" s="233">
        <v>150</v>
      </c>
      <c r="E48" s="1" t="s">
        <v>743</v>
      </c>
      <c r="I48" s="1">
        <v>60</v>
      </c>
      <c r="J48" s="1" t="s">
        <v>743</v>
      </c>
      <c r="AM48" s="412">
        <f t="shared" si="5"/>
        <v>0</v>
      </c>
      <c r="AN48" s="412">
        <f t="shared" si="6"/>
        <v>0</v>
      </c>
      <c r="AO48" s="412">
        <f t="shared" si="7"/>
        <v>0</v>
      </c>
      <c r="AP48" s="412">
        <f t="shared" si="8"/>
        <v>0</v>
      </c>
      <c r="AQ48" s="413" t="s">
        <v>846</v>
      </c>
      <c r="AR48" s="297">
        <f t="shared" si="9"/>
        <v>0</v>
      </c>
      <c r="AS48" s="414" t="e">
        <f t="shared" si="2"/>
        <v>#DIV/0!</v>
      </c>
      <c r="AT48" s="529"/>
      <c r="AU48" s="529"/>
      <c r="AV48" s="299">
        <v>0</v>
      </c>
      <c r="AW48" s="300">
        <v>0</v>
      </c>
      <c r="AX48" s="301"/>
      <c r="BH48" s="529"/>
      <c r="BI48" s="529"/>
      <c r="BJ48" s="414" t="e">
        <f>$AS$46</f>
        <v>#DIV/0!</v>
      </c>
      <c r="BK48" s="242" t="str">
        <f t="shared" si="19"/>
        <v>C41</v>
      </c>
      <c r="BL48" s="303">
        <f t="shared" si="20"/>
        <v>0</v>
      </c>
      <c r="BM48" s="303">
        <f t="shared" si="20"/>
        <v>0</v>
      </c>
      <c r="BN48" s="303">
        <f t="shared" si="20"/>
        <v>0</v>
      </c>
      <c r="BO48" s="303">
        <f t="shared" si="21"/>
        <v>0</v>
      </c>
      <c r="BP48" s="303">
        <f t="shared" si="22"/>
        <v>0</v>
      </c>
      <c r="BQ48" s="303">
        <f t="shared" si="23"/>
        <v>0</v>
      </c>
      <c r="BR48" s="303">
        <f t="shared" si="24"/>
        <v>0</v>
      </c>
      <c r="BS48" s="303">
        <f t="shared" si="25"/>
        <v>0</v>
      </c>
      <c r="BT48" s="303">
        <f t="shared" si="26"/>
        <v>0</v>
      </c>
      <c r="BU48" s="303">
        <f t="shared" si="27"/>
        <v>0</v>
      </c>
      <c r="BV48" s="303">
        <f t="shared" si="28"/>
        <v>0</v>
      </c>
      <c r="BW48" s="303">
        <f t="shared" si="29"/>
        <v>0</v>
      </c>
      <c r="BX48" s="303">
        <f t="shared" si="30"/>
        <v>0</v>
      </c>
      <c r="BY48" s="303">
        <f t="shared" si="31"/>
        <v>0</v>
      </c>
      <c r="BZ48" s="303">
        <f t="shared" si="32"/>
        <v>0</v>
      </c>
      <c r="CB48" s="529"/>
      <c r="CC48" s="529"/>
      <c r="CD48" s="414" t="e">
        <f>$AS$46</f>
        <v>#DIV/0!</v>
      </c>
      <c r="CE48" s="242" t="str">
        <f>Tabla2[[#This Row],[Columna1]]</f>
        <v>C41</v>
      </c>
      <c r="CF48" s="303">
        <f>Tabla29[[#This Row],[Columna3]]/7</f>
        <v>0</v>
      </c>
      <c r="CG48" s="303">
        <f>Tabla29[[#This Row],[Columna4]]/4.2</f>
        <v>0</v>
      </c>
      <c r="CH48" s="303">
        <f>Tabla2[[#This Row],[Columna16]]</f>
        <v>0</v>
      </c>
      <c r="CI48" s="303" t="e">
        <f>(Tabla29[[#This Row],[Columna4]]*CI$5/$BZ$5)*$CH$4</f>
        <v>#DIV/0!</v>
      </c>
      <c r="CJ48" s="303" t="e">
        <f>(Tabla29[[#This Row],[Columna4]]*CJ$5/$BZ$5)*$CH$4</f>
        <v>#DIV/0!</v>
      </c>
      <c r="CK48" s="303" t="e">
        <f>(Tabla29[[#This Row],[Columna4]]*CK$5/$BZ$5)*$CH$4</f>
        <v>#DIV/0!</v>
      </c>
      <c r="CL48" s="303" t="e">
        <f>(Tabla29[[#This Row],[Columna4]]*CL$5/$BZ$5)*$CH$4</f>
        <v>#DIV/0!</v>
      </c>
      <c r="CM48" s="303" t="e">
        <f>(Tabla29[[#This Row],[Columna4]]*CM$5/$BZ$5)*$CH$4</f>
        <v>#DIV/0!</v>
      </c>
      <c r="CN48" s="303" t="e">
        <f>(Tabla29[[#This Row],[Columna4]]*CN$5/$BZ$5)*$CH$4</f>
        <v>#DIV/0!</v>
      </c>
      <c r="CO48" s="303" t="e">
        <f>(Tabla29[[#This Row],[Columna4]]*CO$5/$BZ$5)*$CH$4</f>
        <v>#DIV/0!</v>
      </c>
      <c r="CP48" s="303" t="e">
        <f>(Tabla29[[#This Row],[Columna4]]*CP$5/$BZ$5)*$CH$4</f>
        <v>#DIV/0!</v>
      </c>
      <c r="CQ48" s="303" t="e">
        <f>(Tabla29[[#This Row],[Columna4]]*CQ$5/$BZ$5)*$CH$4</f>
        <v>#DIV/0!</v>
      </c>
      <c r="CR48" s="303" t="e">
        <f>(Tabla29[[#This Row],[Columna4]]*CR$5/$BZ$5)*$CH$4</f>
        <v>#DIV/0!</v>
      </c>
      <c r="CS48" s="303" t="e">
        <f>(Tabla29[[#This Row],[Columna4]]*CS$5/$BZ$5)*$CH$4</f>
        <v>#DIV/0!</v>
      </c>
      <c r="CT48" s="303" t="e">
        <f>(Tabla29[[#This Row],[Columna4]]*CT$5/$BZ$5)*$CH$4</f>
        <v>#DIV/0!</v>
      </c>
      <c r="CV48" s="529"/>
      <c r="CW48" s="529"/>
      <c r="CX48" s="414" t="e">
        <f>$AS$46</f>
        <v>#DIV/0!</v>
      </c>
      <c r="CY48" s="242" t="str">
        <f>Tabla2[[#This Row],[Columna1]]</f>
        <v>C41</v>
      </c>
      <c r="CZ48" s="303" t="e">
        <f>Tabla292[[#This Row],[Columna3]]/7</f>
        <v>#DIV/0!</v>
      </c>
      <c r="DA48" s="303" t="e">
        <f>Tabla292[[#This Row],[Columna4]]/4.2</f>
        <v>#DIV/0!</v>
      </c>
      <c r="DB48" s="303" t="e">
        <f>Tabla29[[#This Row],[Columna16]]</f>
        <v>#DIV/0!</v>
      </c>
      <c r="DC48" s="303" t="e">
        <f>(Tabla292[[#This Row],[Columna4]]*DC$5/$CT$5)*$DB$4</f>
        <v>#DIV/0!</v>
      </c>
      <c r="DD48" s="303" t="e">
        <f>(Tabla292[[#This Row],[Columna4]]*DD$5/$CT$5)*$DB$4</f>
        <v>#DIV/0!</v>
      </c>
      <c r="DE48" s="303" t="e">
        <f>(Tabla292[[#This Row],[Columna4]]*DE$5/$CT$5)*$DB$4</f>
        <v>#DIV/0!</v>
      </c>
      <c r="DF48" s="303" t="e">
        <f>(Tabla292[[#This Row],[Columna4]]*DF$5/$CT$5)*$DB$4</f>
        <v>#DIV/0!</v>
      </c>
      <c r="DG48" s="303" t="e">
        <f>(Tabla292[[#This Row],[Columna4]]*DG$5/$CT$5)*$DB$4</f>
        <v>#DIV/0!</v>
      </c>
      <c r="DH48" s="303" t="e">
        <f>(Tabla292[[#This Row],[Columna4]]*DH$5/$CT$5)*$DB$4</f>
        <v>#DIV/0!</v>
      </c>
      <c r="DI48" s="303" t="e">
        <f>(Tabla292[[#This Row],[Columna4]]*DI$5/$CT$5)*$DB$4</f>
        <v>#DIV/0!</v>
      </c>
      <c r="DJ48" s="303" t="e">
        <f>(Tabla292[[#This Row],[Columna4]]*DJ$5/$CT$5)*$DB$4</f>
        <v>#DIV/0!</v>
      </c>
      <c r="DK48" s="303" t="e">
        <f>(Tabla292[[#This Row],[Columna4]]*DK$5/$CT$5)*$DB$4</f>
        <v>#DIV/0!</v>
      </c>
      <c r="DL48" s="303" t="e">
        <f>(Tabla292[[#This Row],[Columna4]]*DL$5/$CT$5)*$DB$4</f>
        <v>#DIV/0!</v>
      </c>
      <c r="DM48" s="303" t="e">
        <f>(Tabla292[[#This Row],[Columna4]]*DM$5/$CT$5)*$DB$4</f>
        <v>#DIV/0!</v>
      </c>
      <c r="DN48" s="303" t="e">
        <f>(Tabla292[[#This Row],[Columna4]]*DN$5/$CT$5)*$DB$4</f>
        <v>#DIV/0!</v>
      </c>
      <c r="DP48" s="529"/>
      <c r="DQ48" s="529"/>
      <c r="DR48" s="414" t="e">
        <f>$AS$46</f>
        <v>#DIV/0!</v>
      </c>
      <c r="DS48" s="242" t="str">
        <f>Tabla2[[#This Row],[Columna1]]</f>
        <v>C41</v>
      </c>
      <c r="DT48" s="303" t="e">
        <f>Tabla2926[[#This Row],[Columna3]]/7</f>
        <v>#DIV/0!</v>
      </c>
      <c r="DU48" s="303" t="e">
        <f>Tabla2926[[#This Row],[Columna4]]/4.2</f>
        <v>#DIV/0!</v>
      </c>
      <c r="DV48" s="303" t="e">
        <f>Tabla292[[#This Row],[Columna16]]</f>
        <v>#DIV/0!</v>
      </c>
      <c r="DW48" s="303" t="e">
        <f>(Tabla2926[[#This Row],[Columna4]]*DW$5/$DN$5)*$DV$4</f>
        <v>#DIV/0!</v>
      </c>
      <c r="DX48" s="303" t="e">
        <f>(Tabla2926[[#This Row],[Columna4]]*DX$5/$DN$5)*$DV$4</f>
        <v>#DIV/0!</v>
      </c>
      <c r="DY48" s="303" t="e">
        <f>(Tabla2926[[#This Row],[Columna4]]*DY$5/$DN$5)*$DV$4</f>
        <v>#DIV/0!</v>
      </c>
      <c r="DZ48" s="303" t="e">
        <f>(Tabla2926[[#This Row],[Columna4]]*DZ$5/$DN$5)*$DV$4</f>
        <v>#DIV/0!</v>
      </c>
      <c r="EA48" s="303" t="e">
        <f>(Tabla2926[[#This Row],[Columna4]]*EA$5/$DN$5)*$DV$4</f>
        <v>#DIV/0!</v>
      </c>
      <c r="EB48" s="303" t="e">
        <f>(Tabla2926[[#This Row],[Columna4]]*EB$5/$DN$5)*$DV$4</f>
        <v>#DIV/0!</v>
      </c>
      <c r="EC48" s="303" t="e">
        <f>(Tabla2926[[#This Row],[Columna4]]*EC$5/$DN$5)*$DV$4</f>
        <v>#DIV/0!</v>
      </c>
      <c r="ED48" s="303" t="e">
        <f>(Tabla2926[[#This Row],[Columna4]]*ED$5/$DN$5)*$DV$4</f>
        <v>#DIV/0!</v>
      </c>
      <c r="EE48" s="303" t="e">
        <f>(Tabla2926[[#This Row],[Columna4]]*EE$5/$DN$5)*$DV$4</f>
        <v>#DIV/0!</v>
      </c>
      <c r="EF48" s="303" t="e">
        <f>(Tabla2926[[#This Row],[Columna4]]*EF$5/$DN$5)*$DV$4</f>
        <v>#DIV/0!</v>
      </c>
      <c r="EG48" s="303" t="e">
        <f>(Tabla2926[[#This Row],[Columna4]]*EG$5/$DN$5)*$DV$4</f>
        <v>#DIV/0!</v>
      </c>
      <c r="EH48" s="303" t="e">
        <f>(Tabla2926[[#This Row],[Columna4]]*EH$5/$DN$5)*$DV$4</f>
        <v>#DIV/0!</v>
      </c>
      <c r="EJ48" s="529"/>
      <c r="EK48" s="529"/>
      <c r="EL48" s="414" t="e">
        <f>$AS$46</f>
        <v>#DIV/0!</v>
      </c>
      <c r="EM48" s="242" t="str">
        <f>Tabla2[[#This Row],[Columna1]]</f>
        <v>C41</v>
      </c>
      <c r="EN48" s="303" t="e">
        <f>Tabla29268[[#This Row],[Columna3]]/7</f>
        <v>#DIV/0!</v>
      </c>
      <c r="EO48" s="303" t="e">
        <f>Tabla29268[[#This Row],[Columna4]]/4.2</f>
        <v>#DIV/0!</v>
      </c>
      <c r="EP48" s="303" t="e">
        <f>Tabla2926[[#This Row],[Columna16]]</f>
        <v>#DIV/0!</v>
      </c>
      <c r="EQ48" s="303" t="e">
        <f>(Tabla29268[[#This Row],[Columna4]]*EQ$5/$EH$5)*$EP$4</f>
        <v>#DIV/0!</v>
      </c>
      <c r="ER48" s="303" t="e">
        <f>(Tabla29268[[#This Row],[Columna4]]*ER$5/$EH$5)*$EP$4</f>
        <v>#DIV/0!</v>
      </c>
      <c r="ES48" s="303" t="e">
        <f>(Tabla29268[[#This Row],[Columna4]]*ES$5/$EH$5)*$EP$4</f>
        <v>#DIV/0!</v>
      </c>
      <c r="ET48" s="303" t="e">
        <f>(Tabla29268[[#This Row],[Columna4]]*ET$5/$EH$5)*$EP$4</f>
        <v>#DIV/0!</v>
      </c>
      <c r="EU48" s="303" t="e">
        <f>(Tabla29268[[#This Row],[Columna4]]*EU$5/$EH$5)*$EP$4</f>
        <v>#DIV/0!</v>
      </c>
      <c r="EV48" s="303" t="e">
        <f>(Tabla29268[[#This Row],[Columna4]]*EV$5/$EH$5)*$EP$4</f>
        <v>#DIV/0!</v>
      </c>
      <c r="EW48" s="303" t="e">
        <f>(Tabla29268[[#This Row],[Columna4]]*EW$5/$EH$5)*$EP$4</f>
        <v>#DIV/0!</v>
      </c>
      <c r="EX48" s="303" t="e">
        <f>(Tabla29268[[#This Row],[Columna4]]*EX$5/$EH$5)*$EP$4</f>
        <v>#DIV/0!</v>
      </c>
      <c r="EY48" s="303" t="e">
        <f>(Tabla29268[[#This Row],[Columna4]]*EY$5/$EH$5)*$EP$4</f>
        <v>#DIV/0!</v>
      </c>
      <c r="EZ48" s="303" t="e">
        <f>(Tabla29268[[#This Row],[Columna4]]*EZ$5/$EH$5)*$EP$4</f>
        <v>#DIV/0!</v>
      </c>
      <c r="FA48" s="303" t="e">
        <f>(Tabla29268[[#This Row],[Columna4]]*FA$5/$EH$5)*$EP$4</f>
        <v>#DIV/0!</v>
      </c>
      <c r="FB48" s="303" t="e">
        <f>(Tabla29268[[#This Row],[Columna4]]*FB$5/$EH$5)*$EP$4</f>
        <v>#DIV/0!</v>
      </c>
      <c r="FD48" s="397" t="s">
        <v>53</v>
      </c>
      <c r="FE48" s="399" t="s">
        <v>50</v>
      </c>
      <c r="FF48" s="400">
        <f t="shared" si="212"/>
        <v>0</v>
      </c>
      <c r="FG48" s="400">
        <f t="shared" si="212"/>
        <v>0</v>
      </c>
      <c r="FH48" s="400">
        <f t="shared" si="212"/>
        <v>0</v>
      </c>
      <c r="FI48" s="400">
        <f t="shared" si="212"/>
        <v>0</v>
      </c>
      <c r="FJ48" s="400">
        <f t="shared" si="212"/>
        <v>0</v>
      </c>
      <c r="FK48" s="400">
        <f t="shared" si="212"/>
        <v>0</v>
      </c>
      <c r="FL48" s="400">
        <f t="shared" si="212"/>
        <v>0</v>
      </c>
      <c r="FM48" s="400">
        <f t="shared" si="212"/>
        <v>0</v>
      </c>
      <c r="FN48" s="400">
        <f t="shared" si="212"/>
        <v>0</v>
      </c>
      <c r="FO48" s="400">
        <f t="shared" si="212"/>
        <v>0</v>
      </c>
      <c r="FP48" s="400">
        <f t="shared" si="212"/>
        <v>0</v>
      </c>
      <c r="FQ48" s="400">
        <f t="shared" si="212"/>
        <v>0</v>
      </c>
      <c r="FR48" s="363">
        <f t="shared" si="197"/>
        <v>0</v>
      </c>
      <c r="FS48" s="260" t="e">
        <f t="shared" si="198"/>
        <v>#DIV/0!</v>
      </c>
      <c r="FV48" s="357" t="s">
        <v>451</v>
      </c>
      <c r="FW48" s="358" t="e">
        <f>+FW44-FW46</f>
        <v>#DIV/0!</v>
      </c>
      <c r="FX48" s="358" t="e">
        <f t="shared" ref="FX48:GH48" si="253">+FX44-FX46</f>
        <v>#DIV/0!</v>
      </c>
      <c r="FY48" s="358" t="e">
        <f t="shared" si="253"/>
        <v>#DIV/0!</v>
      </c>
      <c r="FZ48" s="358" t="e">
        <f t="shared" si="253"/>
        <v>#DIV/0!</v>
      </c>
      <c r="GA48" s="358" t="e">
        <f t="shared" si="253"/>
        <v>#DIV/0!</v>
      </c>
      <c r="GB48" s="358" t="e">
        <f t="shared" si="253"/>
        <v>#DIV/0!</v>
      </c>
      <c r="GC48" s="358" t="e">
        <f t="shared" si="253"/>
        <v>#DIV/0!</v>
      </c>
      <c r="GD48" s="358" t="e">
        <f t="shared" si="253"/>
        <v>#DIV/0!</v>
      </c>
      <c r="GE48" s="358" t="e">
        <f t="shared" si="253"/>
        <v>#DIV/0!</v>
      </c>
      <c r="GF48" s="358" t="e">
        <f t="shared" si="253"/>
        <v>#DIV/0!</v>
      </c>
      <c r="GG48" s="358" t="e">
        <f t="shared" si="253"/>
        <v>#DIV/0!</v>
      </c>
      <c r="GH48" s="358" t="e">
        <f t="shared" si="253"/>
        <v>#DIV/0!</v>
      </c>
      <c r="GI48" s="309" t="e">
        <f t="shared" ref="GI48" si="254">SUM(FW48:GH48)</f>
        <v>#DIV/0!</v>
      </c>
      <c r="GJ48" s="262" t="e">
        <f>GI48/$GI$6</f>
        <v>#DIV/0!</v>
      </c>
      <c r="HD48" s="65" t="s">
        <v>526</v>
      </c>
      <c r="HE48" s="66">
        <v>0</v>
      </c>
      <c r="HF48" s="67">
        <f t="shared" si="251"/>
        <v>0</v>
      </c>
      <c r="HG48" s="68">
        <f t="shared" si="252"/>
        <v>0</v>
      </c>
      <c r="HH48" s="69">
        <v>1</v>
      </c>
      <c r="HI48" s="367">
        <v>0</v>
      </c>
      <c r="HJ48" s="140"/>
      <c r="HM48" s="283"/>
      <c r="HN48" s="283"/>
      <c r="HO48" s="285"/>
      <c r="HP48" s="283"/>
      <c r="HQ48" s="285"/>
      <c r="HR48" s="283"/>
      <c r="HS48" s="285"/>
      <c r="HT48" s="283"/>
      <c r="HU48" s="285"/>
      <c r="HV48" s="283"/>
      <c r="HW48" s="285"/>
      <c r="HX48" s="283"/>
      <c r="HY48" s="285"/>
      <c r="HZ48" s="283"/>
      <c r="IA48" s="285"/>
      <c r="IB48" s="283"/>
      <c r="IC48" s="285"/>
      <c r="ID48" s="283"/>
      <c r="IE48" s="285"/>
      <c r="IF48" s="283"/>
      <c r="IG48" s="285"/>
      <c r="IH48" s="283"/>
      <c r="II48" s="285"/>
      <c r="IJ48" s="283"/>
      <c r="IK48" s="285"/>
      <c r="IL48" s="283"/>
      <c r="IM48" s="285"/>
    </row>
    <row r="49" spans="3:247" ht="14.4" customHeight="1" x14ac:dyDescent="0.3">
      <c r="C49" s="44" t="s">
        <v>749</v>
      </c>
      <c r="D49" s="232">
        <f>D48/D47</f>
        <v>3.3333333333333335</v>
      </c>
      <c r="E49" s="1" t="s">
        <v>745</v>
      </c>
      <c r="AM49" s="303">
        <f>SUM(AM6:AM48)</f>
        <v>0</v>
      </c>
      <c r="AN49" s="303">
        <f>SUM(AN6:AN48)</f>
        <v>0</v>
      </c>
      <c r="AO49" s="303">
        <f>SUM(AO6:AO48)</f>
        <v>0</v>
      </c>
      <c r="AP49" s="303">
        <f>SUM(AP6:AP48)</f>
        <v>0</v>
      </c>
      <c r="AQ49" s="242" t="s">
        <v>358</v>
      </c>
      <c r="AR49" s="422">
        <f t="shared" ref="AR49" si="255">SUM(AR6:AR48)</f>
        <v>0</v>
      </c>
      <c r="AS49" s="423" t="e">
        <f t="shared" si="2"/>
        <v>#DIV/0!</v>
      </c>
      <c r="AT49" s="424"/>
      <c r="AU49" s="424"/>
      <c r="AV49" s="422"/>
      <c r="BH49" s="529"/>
      <c r="BI49" s="529"/>
      <c r="BJ49" s="414" t="e">
        <f>$AS$47</f>
        <v>#DIV/0!</v>
      </c>
      <c r="BK49" s="242" t="str">
        <f t="shared" si="19"/>
        <v>C42</v>
      </c>
      <c r="BL49" s="303">
        <f t="shared" si="20"/>
        <v>0</v>
      </c>
      <c r="BM49" s="303">
        <f t="shared" si="20"/>
        <v>0</v>
      </c>
      <c r="BN49" s="303">
        <f t="shared" si="20"/>
        <v>0</v>
      </c>
      <c r="BO49" s="303">
        <f t="shared" si="21"/>
        <v>0</v>
      </c>
      <c r="BP49" s="303">
        <f t="shared" si="22"/>
        <v>0</v>
      </c>
      <c r="BQ49" s="303">
        <f t="shared" si="23"/>
        <v>0</v>
      </c>
      <c r="BR49" s="303">
        <f t="shared" si="24"/>
        <v>0</v>
      </c>
      <c r="BS49" s="303">
        <f t="shared" si="25"/>
        <v>0</v>
      </c>
      <c r="BT49" s="303">
        <f t="shared" si="26"/>
        <v>0</v>
      </c>
      <c r="BU49" s="303">
        <f t="shared" si="27"/>
        <v>0</v>
      </c>
      <c r="BV49" s="303">
        <f t="shared" si="28"/>
        <v>0</v>
      </c>
      <c r="BW49" s="303">
        <f t="shared" si="29"/>
        <v>0</v>
      </c>
      <c r="BX49" s="303">
        <f t="shared" si="30"/>
        <v>0</v>
      </c>
      <c r="BY49" s="303">
        <f t="shared" si="31"/>
        <v>0</v>
      </c>
      <c r="BZ49" s="303">
        <f t="shared" si="32"/>
        <v>0</v>
      </c>
      <c r="CB49" s="529"/>
      <c r="CC49" s="529"/>
      <c r="CD49" s="414" t="e">
        <f>$AS$47</f>
        <v>#DIV/0!</v>
      </c>
      <c r="CE49" s="242" t="str">
        <f>Tabla2[[#This Row],[Columna1]]</f>
        <v>C42</v>
      </c>
      <c r="CF49" s="303">
        <f>Tabla29[[#This Row],[Columna3]]/7</f>
        <v>0</v>
      </c>
      <c r="CG49" s="303">
        <f>Tabla29[[#This Row],[Columna4]]/4.2</f>
        <v>0</v>
      </c>
      <c r="CH49" s="303">
        <f>Tabla2[[#This Row],[Columna16]]</f>
        <v>0</v>
      </c>
      <c r="CI49" s="303" t="e">
        <f>(Tabla29[[#This Row],[Columna4]]*CI$5/$BZ$5)*$CH$4</f>
        <v>#DIV/0!</v>
      </c>
      <c r="CJ49" s="303" t="e">
        <f>(Tabla29[[#This Row],[Columna4]]*CJ$5/$BZ$5)*$CH$4</f>
        <v>#DIV/0!</v>
      </c>
      <c r="CK49" s="303" t="e">
        <f>(Tabla29[[#This Row],[Columna4]]*CK$5/$BZ$5)*$CH$4</f>
        <v>#DIV/0!</v>
      </c>
      <c r="CL49" s="303" t="e">
        <f>(Tabla29[[#This Row],[Columna4]]*CL$5/$BZ$5)*$CH$4</f>
        <v>#DIV/0!</v>
      </c>
      <c r="CM49" s="303" t="e">
        <f>(Tabla29[[#This Row],[Columna4]]*CM$5/$BZ$5)*$CH$4</f>
        <v>#DIV/0!</v>
      </c>
      <c r="CN49" s="303" t="e">
        <f>(Tabla29[[#This Row],[Columna4]]*CN$5/$BZ$5)*$CH$4</f>
        <v>#DIV/0!</v>
      </c>
      <c r="CO49" s="303" t="e">
        <f>(Tabla29[[#This Row],[Columna4]]*CO$5/$BZ$5)*$CH$4</f>
        <v>#DIV/0!</v>
      </c>
      <c r="CP49" s="303" t="e">
        <f>(Tabla29[[#This Row],[Columna4]]*CP$5/$BZ$5)*$CH$4</f>
        <v>#DIV/0!</v>
      </c>
      <c r="CQ49" s="303" t="e">
        <f>(Tabla29[[#This Row],[Columna4]]*CQ$5/$BZ$5)*$CH$4</f>
        <v>#DIV/0!</v>
      </c>
      <c r="CR49" s="303" t="e">
        <f>(Tabla29[[#This Row],[Columna4]]*CR$5/$BZ$5)*$CH$4</f>
        <v>#DIV/0!</v>
      </c>
      <c r="CS49" s="303" t="e">
        <f>(Tabla29[[#This Row],[Columna4]]*CS$5/$BZ$5)*$CH$4</f>
        <v>#DIV/0!</v>
      </c>
      <c r="CT49" s="303" t="e">
        <f>(Tabla29[[#This Row],[Columna4]]*CT$5/$BZ$5)*$CH$4</f>
        <v>#DIV/0!</v>
      </c>
      <c r="CV49" s="529"/>
      <c r="CW49" s="529"/>
      <c r="CX49" s="414" t="e">
        <f>$AS$47</f>
        <v>#DIV/0!</v>
      </c>
      <c r="CY49" s="242" t="str">
        <f>Tabla2[[#This Row],[Columna1]]</f>
        <v>C42</v>
      </c>
      <c r="CZ49" s="303" t="e">
        <f>Tabla292[[#This Row],[Columna3]]/7</f>
        <v>#DIV/0!</v>
      </c>
      <c r="DA49" s="303" t="e">
        <f>Tabla292[[#This Row],[Columna4]]/4.2</f>
        <v>#DIV/0!</v>
      </c>
      <c r="DB49" s="303" t="e">
        <f>Tabla29[[#This Row],[Columna16]]</f>
        <v>#DIV/0!</v>
      </c>
      <c r="DC49" s="303" t="e">
        <f>(Tabla292[[#This Row],[Columna4]]*DC$5/$CT$5)*$DB$4</f>
        <v>#DIV/0!</v>
      </c>
      <c r="DD49" s="303" t="e">
        <f>(Tabla292[[#This Row],[Columna4]]*DD$5/$CT$5)*$DB$4</f>
        <v>#DIV/0!</v>
      </c>
      <c r="DE49" s="303" t="e">
        <f>(Tabla292[[#This Row],[Columna4]]*DE$5/$CT$5)*$DB$4</f>
        <v>#DIV/0!</v>
      </c>
      <c r="DF49" s="303" t="e">
        <f>(Tabla292[[#This Row],[Columna4]]*DF$5/$CT$5)*$DB$4</f>
        <v>#DIV/0!</v>
      </c>
      <c r="DG49" s="303" t="e">
        <f>(Tabla292[[#This Row],[Columna4]]*DG$5/$CT$5)*$DB$4</f>
        <v>#DIV/0!</v>
      </c>
      <c r="DH49" s="303" t="e">
        <f>(Tabla292[[#This Row],[Columna4]]*DH$5/$CT$5)*$DB$4</f>
        <v>#DIV/0!</v>
      </c>
      <c r="DI49" s="303" t="e">
        <f>(Tabla292[[#This Row],[Columna4]]*DI$5/$CT$5)*$DB$4</f>
        <v>#DIV/0!</v>
      </c>
      <c r="DJ49" s="303" t="e">
        <f>(Tabla292[[#This Row],[Columna4]]*DJ$5/$CT$5)*$DB$4</f>
        <v>#DIV/0!</v>
      </c>
      <c r="DK49" s="303" t="e">
        <f>(Tabla292[[#This Row],[Columna4]]*DK$5/$CT$5)*$DB$4</f>
        <v>#DIV/0!</v>
      </c>
      <c r="DL49" s="303" t="e">
        <f>(Tabla292[[#This Row],[Columna4]]*DL$5/$CT$5)*$DB$4</f>
        <v>#DIV/0!</v>
      </c>
      <c r="DM49" s="303" t="e">
        <f>(Tabla292[[#This Row],[Columna4]]*DM$5/$CT$5)*$DB$4</f>
        <v>#DIV/0!</v>
      </c>
      <c r="DN49" s="303" t="e">
        <f>(Tabla292[[#This Row],[Columna4]]*DN$5/$CT$5)*$DB$4</f>
        <v>#DIV/0!</v>
      </c>
      <c r="DP49" s="529"/>
      <c r="DQ49" s="529"/>
      <c r="DR49" s="414" t="e">
        <f>$AS$47</f>
        <v>#DIV/0!</v>
      </c>
      <c r="DS49" s="242" t="str">
        <f>Tabla2[[#This Row],[Columna1]]</f>
        <v>C42</v>
      </c>
      <c r="DT49" s="303" t="e">
        <f>Tabla2926[[#This Row],[Columna3]]/7</f>
        <v>#DIV/0!</v>
      </c>
      <c r="DU49" s="303" t="e">
        <f>Tabla2926[[#This Row],[Columna4]]/4.2</f>
        <v>#DIV/0!</v>
      </c>
      <c r="DV49" s="303" t="e">
        <f>Tabla292[[#This Row],[Columna16]]</f>
        <v>#DIV/0!</v>
      </c>
      <c r="DW49" s="303" t="e">
        <f>(Tabla2926[[#This Row],[Columna4]]*DW$5/$DN$5)*$DV$4</f>
        <v>#DIV/0!</v>
      </c>
      <c r="DX49" s="303" t="e">
        <f>(Tabla2926[[#This Row],[Columna4]]*DX$5/$DN$5)*$DV$4</f>
        <v>#DIV/0!</v>
      </c>
      <c r="DY49" s="303" t="e">
        <f>(Tabla2926[[#This Row],[Columna4]]*DY$5/$DN$5)*$DV$4</f>
        <v>#DIV/0!</v>
      </c>
      <c r="DZ49" s="303" t="e">
        <f>(Tabla2926[[#This Row],[Columna4]]*DZ$5/$DN$5)*$DV$4</f>
        <v>#DIV/0!</v>
      </c>
      <c r="EA49" s="303" t="e">
        <f>(Tabla2926[[#This Row],[Columna4]]*EA$5/$DN$5)*$DV$4</f>
        <v>#DIV/0!</v>
      </c>
      <c r="EB49" s="303" t="e">
        <f>(Tabla2926[[#This Row],[Columna4]]*EB$5/$DN$5)*$DV$4</f>
        <v>#DIV/0!</v>
      </c>
      <c r="EC49" s="303" t="e">
        <f>(Tabla2926[[#This Row],[Columna4]]*EC$5/$DN$5)*$DV$4</f>
        <v>#DIV/0!</v>
      </c>
      <c r="ED49" s="303" t="e">
        <f>(Tabla2926[[#This Row],[Columna4]]*ED$5/$DN$5)*$DV$4</f>
        <v>#DIV/0!</v>
      </c>
      <c r="EE49" s="303" t="e">
        <f>(Tabla2926[[#This Row],[Columna4]]*EE$5/$DN$5)*$DV$4</f>
        <v>#DIV/0!</v>
      </c>
      <c r="EF49" s="303" t="e">
        <f>(Tabla2926[[#This Row],[Columna4]]*EF$5/$DN$5)*$DV$4</f>
        <v>#DIV/0!</v>
      </c>
      <c r="EG49" s="303" t="e">
        <f>(Tabla2926[[#This Row],[Columna4]]*EG$5/$DN$5)*$DV$4</f>
        <v>#DIV/0!</v>
      </c>
      <c r="EH49" s="303" t="e">
        <f>(Tabla2926[[#This Row],[Columna4]]*EH$5/$DN$5)*$DV$4</f>
        <v>#DIV/0!</v>
      </c>
      <c r="EJ49" s="529"/>
      <c r="EK49" s="529"/>
      <c r="EL49" s="414" t="e">
        <f>$AS$47</f>
        <v>#DIV/0!</v>
      </c>
      <c r="EM49" s="242" t="str">
        <f>Tabla2[[#This Row],[Columna1]]</f>
        <v>C42</v>
      </c>
      <c r="EN49" s="303" t="e">
        <f>Tabla29268[[#This Row],[Columna3]]/7</f>
        <v>#DIV/0!</v>
      </c>
      <c r="EO49" s="303" t="e">
        <f>Tabla29268[[#This Row],[Columna4]]/4.2</f>
        <v>#DIV/0!</v>
      </c>
      <c r="EP49" s="303" t="e">
        <f>Tabla2926[[#This Row],[Columna16]]</f>
        <v>#DIV/0!</v>
      </c>
      <c r="EQ49" s="303" t="e">
        <f>(Tabla29268[[#This Row],[Columna4]]*EQ$5/$EH$5)*$EP$4</f>
        <v>#DIV/0!</v>
      </c>
      <c r="ER49" s="303" t="e">
        <f>(Tabla29268[[#This Row],[Columna4]]*ER$5/$EH$5)*$EP$4</f>
        <v>#DIV/0!</v>
      </c>
      <c r="ES49" s="303" t="e">
        <f>(Tabla29268[[#This Row],[Columna4]]*ES$5/$EH$5)*$EP$4</f>
        <v>#DIV/0!</v>
      </c>
      <c r="ET49" s="303" t="e">
        <f>(Tabla29268[[#This Row],[Columna4]]*ET$5/$EH$5)*$EP$4</f>
        <v>#DIV/0!</v>
      </c>
      <c r="EU49" s="303" t="e">
        <f>(Tabla29268[[#This Row],[Columna4]]*EU$5/$EH$5)*$EP$4</f>
        <v>#DIV/0!</v>
      </c>
      <c r="EV49" s="303" t="e">
        <f>(Tabla29268[[#This Row],[Columna4]]*EV$5/$EH$5)*$EP$4</f>
        <v>#DIV/0!</v>
      </c>
      <c r="EW49" s="303" t="e">
        <f>(Tabla29268[[#This Row],[Columna4]]*EW$5/$EH$5)*$EP$4</f>
        <v>#DIV/0!</v>
      </c>
      <c r="EX49" s="303" t="e">
        <f>(Tabla29268[[#This Row],[Columna4]]*EX$5/$EH$5)*$EP$4</f>
        <v>#DIV/0!</v>
      </c>
      <c r="EY49" s="303" t="e">
        <f>(Tabla29268[[#This Row],[Columna4]]*EY$5/$EH$5)*$EP$4</f>
        <v>#DIV/0!</v>
      </c>
      <c r="EZ49" s="303" t="e">
        <f>(Tabla29268[[#This Row],[Columna4]]*EZ$5/$EH$5)*$EP$4</f>
        <v>#DIV/0!</v>
      </c>
      <c r="FA49" s="303" t="e">
        <f>(Tabla29268[[#This Row],[Columna4]]*FA$5/$EH$5)*$EP$4</f>
        <v>#DIV/0!</v>
      </c>
      <c r="FB49" s="303" t="e">
        <f>(Tabla29268[[#This Row],[Columna4]]*FB$5/$EH$5)*$EP$4</f>
        <v>#DIV/0!</v>
      </c>
      <c r="FD49" s="397" t="s">
        <v>55</v>
      </c>
      <c r="FE49" s="399" t="s">
        <v>52</v>
      </c>
      <c r="FF49" s="400">
        <f t="shared" si="212"/>
        <v>0</v>
      </c>
      <c r="FG49" s="400">
        <f t="shared" si="212"/>
        <v>0</v>
      </c>
      <c r="FH49" s="400">
        <f t="shared" si="212"/>
        <v>0</v>
      </c>
      <c r="FI49" s="400">
        <f t="shared" si="212"/>
        <v>0</v>
      </c>
      <c r="FJ49" s="400">
        <f t="shared" si="212"/>
        <v>0</v>
      </c>
      <c r="FK49" s="400">
        <f t="shared" si="212"/>
        <v>0</v>
      </c>
      <c r="FL49" s="400">
        <f t="shared" si="212"/>
        <v>0</v>
      </c>
      <c r="FM49" s="400">
        <f t="shared" si="212"/>
        <v>0</v>
      </c>
      <c r="FN49" s="400">
        <f t="shared" si="212"/>
        <v>0</v>
      </c>
      <c r="FO49" s="400">
        <f t="shared" si="212"/>
        <v>0</v>
      </c>
      <c r="FP49" s="400">
        <f t="shared" si="212"/>
        <v>0</v>
      </c>
      <c r="FQ49" s="400">
        <f t="shared" si="212"/>
        <v>0</v>
      </c>
      <c r="FR49" s="363">
        <f t="shared" si="197"/>
        <v>0</v>
      </c>
      <c r="FS49" s="260" t="e">
        <f t="shared" si="198"/>
        <v>#DIV/0!</v>
      </c>
      <c r="FV49" s="361"/>
      <c r="FW49" s="362"/>
      <c r="FX49" s="362"/>
      <c r="FY49" s="362"/>
      <c r="FZ49" s="362"/>
      <c r="GA49" s="362"/>
      <c r="GB49" s="362"/>
      <c r="GC49" s="362"/>
      <c r="GD49" s="362"/>
      <c r="GE49" s="362"/>
      <c r="GF49" s="362"/>
      <c r="GG49" s="362"/>
      <c r="GH49" s="362"/>
      <c r="GI49" s="362"/>
      <c r="GJ49" s="365"/>
      <c r="HD49" s="65" t="s">
        <v>659</v>
      </c>
      <c r="HE49" s="66">
        <v>0</v>
      </c>
      <c r="HF49" s="67">
        <f t="shared" si="251"/>
        <v>0</v>
      </c>
      <c r="HG49" s="68">
        <f t="shared" si="252"/>
        <v>0</v>
      </c>
      <c r="HH49" s="69">
        <v>1</v>
      </c>
      <c r="HI49" s="367">
        <v>0</v>
      </c>
      <c r="HJ49" s="140"/>
      <c r="HM49" s="420" t="s">
        <v>602</v>
      </c>
      <c r="HN49" s="421" t="e">
        <f>HN37/HO17</f>
        <v>#DIV/0!</v>
      </c>
      <c r="HO49" s="332" t="e">
        <f>HN49/HN$9</f>
        <v>#DIV/0!</v>
      </c>
      <c r="HP49" s="421" t="e">
        <f>HP37/HQ17</f>
        <v>#DIV/0!</v>
      </c>
      <c r="HQ49" s="332" t="e">
        <f>HP49/HP$9</f>
        <v>#DIV/0!</v>
      </c>
      <c r="HR49" s="421" t="e">
        <f>HR37/HS17</f>
        <v>#DIV/0!</v>
      </c>
      <c r="HS49" s="332" t="e">
        <f>HR49/HR$9</f>
        <v>#DIV/0!</v>
      </c>
      <c r="HT49" s="421" t="e">
        <f>HT37/HU17</f>
        <v>#DIV/0!</v>
      </c>
      <c r="HU49" s="332" t="e">
        <f>HT49/HT$9</f>
        <v>#DIV/0!</v>
      </c>
      <c r="HV49" s="421" t="e">
        <f>HV37/HW17</f>
        <v>#DIV/0!</v>
      </c>
      <c r="HW49" s="332" t="e">
        <f>HV49/HV$9</f>
        <v>#DIV/0!</v>
      </c>
      <c r="HX49" s="421" t="e">
        <f>HX37/HY17</f>
        <v>#DIV/0!</v>
      </c>
      <c r="HY49" s="332" t="e">
        <f>HX49/HX$9</f>
        <v>#DIV/0!</v>
      </c>
      <c r="HZ49" s="421" t="e">
        <f>HZ37/IA17</f>
        <v>#DIV/0!</v>
      </c>
      <c r="IA49" s="332" t="e">
        <f>HZ49/HZ$9</f>
        <v>#DIV/0!</v>
      </c>
      <c r="IB49" s="421" t="e">
        <f>IB37/IC17</f>
        <v>#DIV/0!</v>
      </c>
      <c r="IC49" s="332" t="e">
        <f>IB49/IB$9</f>
        <v>#DIV/0!</v>
      </c>
      <c r="ID49" s="421" t="e">
        <f>ID37/IE17</f>
        <v>#DIV/0!</v>
      </c>
      <c r="IE49" s="332" t="e">
        <f>ID49/ID$9</f>
        <v>#DIV/0!</v>
      </c>
      <c r="IF49" s="421" t="e">
        <f>IF37/IG17</f>
        <v>#DIV/0!</v>
      </c>
      <c r="IG49" s="332" t="e">
        <f>IF49/IF$9</f>
        <v>#DIV/0!</v>
      </c>
      <c r="IH49" s="421" t="e">
        <f>IH37/II17</f>
        <v>#DIV/0!</v>
      </c>
      <c r="II49" s="332" t="e">
        <f>IH49/IH$9</f>
        <v>#DIV/0!</v>
      </c>
      <c r="IJ49" s="421" t="e">
        <f>IJ37/IK17</f>
        <v>#DIV/0!</v>
      </c>
      <c r="IK49" s="332" t="e">
        <f>IJ49/IJ$9</f>
        <v>#DIV/0!</v>
      </c>
      <c r="IL49" s="421" t="e">
        <f>IL37/IM17</f>
        <v>#DIV/0!</v>
      </c>
      <c r="IM49" s="332" t="e">
        <f>IL49/IL$9</f>
        <v>#DIV/0!</v>
      </c>
    </row>
    <row r="50" spans="3:247" ht="14.4" customHeight="1" x14ac:dyDescent="0.3">
      <c r="C50" s="44" t="s">
        <v>746</v>
      </c>
      <c r="D50" s="232">
        <v>3</v>
      </c>
      <c r="E50" s="1" t="s">
        <v>747</v>
      </c>
      <c r="AQ50" s="242" t="s">
        <v>360</v>
      </c>
      <c r="AR50" s="422">
        <f t="shared" ref="AR50" si="256">AR49/12</f>
        <v>0</v>
      </c>
      <c r="AS50" s="424"/>
      <c r="AT50" s="424"/>
      <c r="AU50" s="424"/>
      <c r="AV50" s="422"/>
      <c r="BH50" s="529"/>
      <c r="BI50" s="529"/>
      <c r="BJ50" s="414" t="e">
        <f>$AS$48</f>
        <v>#DIV/0!</v>
      </c>
      <c r="BK50" s="242" t="str">
        <f t="shared" si="19"/>
        <v>C43</v>
      </c>
      <c r="BL50" s="303">
        <f t="shared" si="20"/>
        <v>0</v>
      </c>
      <c r="BM50" s="303">
        <f t="shared" si="20"/>
        <v>0</v>
      </c>
      <c r="BN50" s="303">
        <f t="shared" si="20"/>
        <v>0</v>
      </c>
      <c r="BO50" s="303">
        <f t="shared" si="21"/>
        <v>0</v>
      </c>
      <c r="BP50" s="303">
        <f t="shared" si="22"/>
        <v>0</v>
      </c>
      <c r="BQ50" s="303">
        <f t="shared" si="23"/>
        <v>0</v>
      </c>
      <c r="BR50" s="303">
        <f t="shared" si="24"/>
        <v>0</v>
      </c>
      <c r="BS50" s="303">
        <f t="shared" si="25"/>
        <v>0</v>
      </c>
      <c r="BT50" s="303">
        <f t="shared" si="26"/>
        <v>0</v>
      </c>
      <c r="BU50" s="303">
        <f t="shared" si="27"/>
        <v>0</v>
      </c>
      <c r="BV50" s="303">
        <f t="shared" si="28"/>
        <v>0</v>
      </c>
      <c r="BW50" s="303">
        <f t="shared" si="29"/>
        <v>0</v>
      </c>
      <c r="BX50" s="303">
        <f t="shared" si="30"/>
        <v>0</v>
      </c>
      <c r="BY50" s="303">
        <f t="shared" si="31"/>
        <v>0</v>
      </c>
      <c r="BZ50" s="303">
        <f t="shared" si="32"/>
        <v>0</v>
      </c>
      <c r="CB50" s="529"/>
      <c r="CC50" s="529"/>
      <c r="CD50" s="414" t="e">
        <f>$AS$48</f>
        <v>#DIV/0!</v>
      </c>
      <c r="CE50" s="242" t="str">
        <f>Tabla2[[#This Row],[Columna1]]</f>
        <v>C43</v>
      </c>
      <c r="CF50" s="303">
        <f>Tabla29[[#This Row],[Columna3]]/7</f>
        <v>0</v>
      </c>
      <c r="CG50" s="303">
        <f>Tabla29[[#This Row],[Columna4]]/4.2</f>
        <v>0</v>
      </c>
      <c r="CH50" s="303">
        <f>Tabla2[[#This Row],[Columna16]]</f>
        <v>0</v>
      </c>
      <c r="CI50" s="303" t="e">
        <f>(Tabla29[[#This Row],[Columna4]]*CI$5/$BZ$5)*$CH$4</f>
        <v>#DIV/0!</v>
      </c>
      <c r="CJ50" s="303" t="e">
        <f>(Tabla29[[#This Row],[Columna4]]*CJ$5/$BZ$5)*$CH$4</f>
        <v>#DIV/0!</v>
      </c>
      <c r="CK50" s="303" t="e">
        <f>(Tabla29[[#This Row],[Columna4]]*CK$5/$BZ$5)*$CH$4</f>
        <v>#DIV/0!</v>
      </c>
      <c r="CL50" s="303" t="e">
        <f>(Tabla29[[#This Row],[Columna4]]*CL$5/$BZ$5)*$CH$4</f>
        <v>#DIV/0!</v>
      </c>
      <c r="CM50" s="303" t="e">
        <f>(Tabla29[[#This Row],[Columna4]]*CM$5/$BZ$5)*$CH$4</f>
        <v>#DIV/0!</v>
      </c>
      <c r="CN50" s="303" t="e">
        <f>(Tabla29[[#This Row],[Columna4]]*CN$5/$BZ$5)*$CH$4</f>
        <v>#DIV/0!</v>
      </c>
      <c r="CO50" s="303" t="e">
        <f>(Tabla29[[#This Row],[Columna4]]*CO$5/$BZ$5)*$CH$4</f>
        <v>#DIV/0!</v>
      </c>
      <c r="CP50" s="303" t="e">
        <f>(Tabla29[[#This Row],[Columna4]]*CP$5/$BZ$5)*$CH$4</f>
        <v>#DIV/0!</v>
      </c>
      <c r="CQ50" s="303" t="e">
        <f>(Tabla29[[#This Row],[Columna4]]*CQ$5/$BZ$5)*$CH$4</f>
        <v>#DIV/0!</v>
      </c>
      <c r="CR50" s="303" t="e">
        <f>(Tabla29[[#This Row],[Columna4]]*CR$5/$BZ$5)*$CH$4</f>
        <v>#DIV/0!</v>
      </c>
      <c r="CS50" s="303" t="e">
        <f>(Tabla29[[#This Row],[Columna4]]*CS$5/$BZ$5)*$CH$4</f>
        <v>#DIV/0!</v>
      </c>
      <c r="CT50" s="303" t="e">
        <f>(Tabla29[[#This Row],[Columna4]]*CT$5/$BZ$5)*$CH$4</f>
        <v>#DIV/0!</v>
      </c>
      <c r="CV50" s="529"/>
      <c r="CW50" s="529"/>
      <c r="CX50" s="414" t="e">
        <f>$AS$48</f>
        <v>#DIV/0!</v>
      </c>
      <c r="CY50" s="242" t="str">
        <f>Tabla2[[#This Row],[Columna1]]</f>
        <v>C43</v>
      </c>
      <c r="CZ50" s="303" t="e">
        <f>Tabla292[[#This Row],[Columna3]]/7</f>
        <v>#DIV/0!</v>
      </c>
      <c r="DA50" s="303" t="e">
        <f>Tabla292[[#This Row],[Columna4]]/4.2</f>
        <v>#DIV/0!</v>
      </c>
      <c r="DB50" s="303" t="e">
        <f>Tabla29[[#This Row],[Columna16]]</f>
        <v>#DIV/0!</v>
      </c>
      <c r="DC50" s="303" t="e">
        <f>(Tabla292[[#This Row],[Columna4]]*DC$5/$CT$5)*$DB$4</f>
        <v>#DIV/0!</v>
      </c>
      <c r="DD50" s="303" t="e">
        <f>(Tabla292[[#This Row],[Columna4]]*DD$5/$CT$5)*$DB$4</f>
        <v>#DIV/0!</v>
      </c>
      <c r="DE50" s="303" t="e">
        <f>(Tabla292[[#This Row],[Columna4]]*DE$5/$CT$5)*$DB$4</f>
        <v>#DIV/0!</v>
      </c>
      <c r="DF50" s="303" t="e">
        <f>(Tabla292[[#This Row],[Columna4]]*DF$5/$CT$5)*$DB$4</f>
        <v>#DIV/0!</v>
      </c>
      <c r="DG50" s="303" t="e">
        <f>(Tabla292[[#This Row],[Columna4]]*DG$5/$CT$5)*$DB$4</f>
        <v>#DIV/0!</v>
      </c>
      <c r="DH50" s="303" t="e">
        <f>(Tabla292[[#This Row],[Columna4]]*DH$5/$CT$5)*$DB$4</f>
        <v>#DIV/0!</v>
      </c>
      <c r="DI50" s="303" t="e">
        <f>(Tabla292[[#This Row],[Columna4]]*DI$5/$CT$5)*$DB$4</f>
        <v>#DIV/0!</v>
      </c>
      <c r="DJ50" s="303" t="e">
        <f>(Tabla292[[#This Row],[Columna4]]*DJ$5/$CT$5)*$DB$4</f>
        <v>#DIV/0!</v>
      </c>
      <c r="DK50" s="303" t="e">
        <f>(Tabla292[[#This Row],[Columna4]]*DK$5/$CT$5)*$DB$4</f>
        <v>#DIV/0!</v>
      </c>
      <c r="DL50" s="303" t="e">
        <f>(Tabla292[[#This Row],[Columna4]]*DL$5/$CT$5)*$DB$4</f>
        <v>#DIV/0!</v>
      </c>
      <c r="DM50" s="303" t="e">
        <f>(Tabla292[[#This Row],[Columna4]]*DM$5/$CT$5)*$DB$4</f>
        <v>#DIV/0!</v>
      </c>
      <c r="DN50" s="303" t="e">
        <f>(Tabla292[[#This Row],[Columna4]]*DN$5/$CT$5)*$DB$4</f>
        <v>#DIV/0!</v>
      </c>
      <c r="DP50" s="529"/>
      <c r="DQ50" s="529"/>
      <c r="DR50" s="414" t="e">
        <f>$AS$48</f>
        <v>#DIV/0!</v>
      </c>
      <c r="DS50" s="242" t="str">
        <f>Tabla2[[#This Row],[Columna1]]</f>
        <v>C43</v>
      </c>
      <c r="DT50" s="303" t="e">
        <f>Tabla2926[[#This Row],[Columna3]]/7</f>
        <v>#DIV/0!</v>
      </c>
      <c r="DU50" s="303" t="e">
        <f>Tabla2926[[#This Row],[Columna4]]/4.2</f>
        <v>#DIV/0!</v>
      </c>
      <c r="DV50" s="303" t="e">
        <f>Tabla292[[#This Row],[Columna16]]</f>
        <v>#DIV/0!</v>
      </c>
      <c r="DW50" s="303" t="e">
        <f>(Tabla2926[[#This Row],[Columna4]]*DW$5/$DN$5)*$DV$4</f>
        <v>#DIV/0!</v>
      </c>
      <c r="DX50" s="303" t="e">
        <f>(Tabla2926[[#This Row],[Columna4]]*DX$5/$DN$5)*$DV$4</f>
        <v>#DIV/0!</v>
      </c>
      <c r="DY50" s="303" t="e">
        <f>(Tabla2926[[#This Row],[Columna4]]*DY$5/$DN$5)*$DV$4</f>
        <v>#DIV/0!</v>
      </c>
      <c r="DZ50" s="303" t="e">
        <f>(Tabla2926[[#This Row],[Columna4]]*DZ$5/$DN$5)*$DV$4</f>
        <v>#DIV/0!</v>
      </c>
      <c r="EA50" s="303" t="e">
        <f>(Tabla2926[[#This Row],[Columna4]]*EA$5/$DN$5)*$DV$4</f>
        <v>#DIV/0!</v>
      </c>
      <c r="EB50" s="303" t="e">
        <f>(Tabla2926[[#This Row],[Columna4]]*EB$5/$DN$5)*$DV$4</f>
        <v>#DIV/0!</v>
      </c>
      <c r="EC50" s="303" t="e">
        <f>(Tabla2926[[#This Row],[Columna4]]*EC$5/$DN$5)*$DV$4</f>
        <v>#DIV/0!</v>
      </c>
      <c r="ED50" s="303" t="e">
        <f>(Tabla2926[[#This Row],[Columna4]]*ED$5/$DN$5)*$DV$4</f>
        <v>#DIV/0!</v>
      </c>
      <c r="EE50" s="303" t="e">
        <f>(Tabla2926[[#This Row],[Columna4]]*EE$5/$DN$5)*$DV$4</f>
        <v>#DIV/0!</v>
      </c>
      <c r="EF50" s="303" t="e">
        <f>(Tabla2926[[#This Row],[Columna4]]*EF$5/$DN$5)*$DV$4</f>
        <v>#DIV/0!</v>
      </c>
      <c r="EG50" s="303" t="e">
        <f>(Tabla2926[[#This Row],[Columna4]]*EG$5/$DN$5)*$DV$4</f>
        <v>#DIV/0!</v>
      </c>
      <c r="EH50" s="303" t="e">
        <f>(Tabla2926[[#This Row],[Columna4]]*EH$5/$DN$5)*$DV$4</f>
        <v>#DIV/0!</v>
      </c>
      <c r="EJ50" s="529"/>
      <c r="EK50" s="529"/>
      <c r="EL50" s="414" t="e">
        <f>$AS$48</f>
        <v>#DIV/0!</v>
      </c>
      <c r="EM50" s="242" t="str">
        <f>Tabla2[[#This Row],[Columna1]]</f>
        <v>C43</v>
      </c>
      <c r="EN50" s="303" t="e">
        <f>Tabla29268[[#This Row],[Columna3]]/7</f>
        <v>#DIV/0!</v>
      </c>
      <c r="EO50" s="303" t="e">
        <f>Tabla29268[[#This Row],[Columna4]]/4.2</f>
        <v>#DIV/0!</v>
      </c>
      <c r="EP50" s="303" t="e">
        <f>Tabla2926[[#This Row],[Columna16]]</f>
        <v>#DIV/0!</v>
      </c>
      <c r="EQ50" s="303" t="e">
        <f>(Tabla29268[[#This Row],[Columna4]]*EQ$5/$EH$5)*$EP$4</f>
        <v>#DIV/0!</v>
      </c>
      <c r="ER50" s="303" t="e">
        <f>(Tabla29268[[#This Row],[Columna4]]*ER$5/$EH$5)*$EP$4</f>
        <v>#DIV/0!</v>
      </c>
      <c r="ES50" s="303" t="e">
        <f>(Tabla29268[[#This Row],[Columna4]]*ES$5/$EH$5)*$EP$4</f>
        <v>#DIV/0!</v>
      </c>
      <c r="ET50" s="303" t="e">
        <f>(Tabla29268[[#This Row],[Columna4]]*ET$5/$EH$5)*$EP$4</f>
        <v>#DIV/0!</v>
      </c>
      <c r="EU50" s="303" t="e">
        <f>(Tabla29268[[#This Row],[Columna4]]*EU$5/$EH$5)*$EP$4</f>
        <v>#DIV/0!</v>
      </c>
      <c r="EV50" s="303" t="e">
        <f>(Tabla29268[[#This Row],[Columna4]]*EV$5/$EH$5)*$EP$4</f>
        <v>#DIV/0!</v>
      </c>
      <c r="EW50" s="303" t="e">
        <f>(Tabla29268[[#This Row],[Columna4]]*EW$5/$EH$5)*$EP$4</f>
        <v>#DIV/0!</v>
      </c>
      <c r="EX50" s="303" t="e">
        <f>(Tabla29268[[#This Row],[Columna4]]*EX$5/$EH$5)*$EP$4</f>
        <v>#DIV/0!</v>
      </c>
      <c r="EY50" s="303" t="e">
        <f>(Tabla29268[[#This Row],[Columna4]]*EY$5/$EH$5)*$EP$4</f>
        <v>#DIV/0!</v>
      </c>
      <c r="EZ50" s="303" t="e">
        <f>(Tabla29268[[#This Row],[Columna4]]*EZ$5/$EH$5)*$EP$4</f>
        <v>#DIV/0!</v>
      </c>
      <c r="FA50" s="303" t="e">
        <f>(Tabla29268[[#This Row],[Columna4]]*FA$5/$EH$5)*$EP$4</f>
        <v>#DIV/0!</v>
      </c>
      <c r="FB50" s="303" t="e">
        <f>(Tabla29268[[#This Row],[Columna4]]*FB$5/$EH$5)*$EP$4</f>
        <v>#DIV/0!</v>
      </c>
      <c r="FD50" s="397" t="s">
        <v>57</v>
      </c>
      <c r="FE50" s="399" t="s">
        <v>54</v>
      </c>
      <c r="FF50" s="400">
        <f t="shared" ref="FF50:FQ52" si="257">+FF225/FF$376</f>
        <v>0</v>
      </c>
      <c r="FG50" s="400">
        <f t="shared" si="257"/>
        <v>0</v>
      </c>
      <c r="FH50" s="400">
        <f t="shared" si="257"/>
        <v>0</v>
      </c>
      <c r="FI50" s="400">
        <f t="shared" si="257"/>
        <v>0</v>
      </c>
      <c r="FJ50" s="400">
        <f t="shared" si="257"/>
        <v>0</v>
      </c>
      <c r="FK50" s="400">
        <f t="shared" si="257"/>
        <v>0</v>
      </c>
      <c r="FL50" s="400">
        <f t="shared" si="257"/>
        <v>0</v>
      </c>
      <c r="FM50" s="400">
        <f t="shared" si="257"/>
        <v>0</v>
      </c>
      <c r="FN50" s="400">
        <f t="shared" si="257"/>
        <v>0</v>
      </c>
      <c r="FO50" s="400">
        <f t="shared" si="257"/>
        <v>0</v>
      </c>
      <c r="FP50" s="400">
        <f t="shared" si="257"/>
        <v>0</v>
      </c>
      <c r="FQ50" s="400">
        <f t="shared" si="257"/>
        <v>0</v>
      </c>
      <c r="FR50" s="363">
        <f t="shared" si="197"/>
        <v>0</v>
      </c>
      <c r="FS50" s="260" t="e">
        <f t="shared" si="198"/>
        <v>#DIV/0!</v>
      </c>
      <c r="FV50" s="357" t="s">
        <v>439</v>
      </c>
      <c r="FW50" s="366">
        <f>FW19</f>
        <v>0</v>
      </c>
      <c r="FX50" s="366">
        <f t="shared" ref="FX50:GH50" si="258">FX19</f>
        <v>0</v>
      </c>
      <c r="FY50" s="366">
        <f t="shared" si="258"/>
        <v>0</v>
      </c>
      <c r="FZ50" s="366">
        <f t="shared" si="258"/>
        <v>0</v>
      </c>
      <c r="GA50" s="366">
        <f t="shared" si="258"/>
        <v>0</v>
      </c>
      <c r="GB50" s="366">
        <f t="shared" si="258"/>
        <v>0</v>
      </c>
      <c r="GC50" s="366">
        <f t="shared" si="258"/>
        <v>0</v>
      </c>
      <c r="GD50" s="366">
        <f t="shared" si="258"/>
        <v>0</v>
      </c>
      <c r="GE50" s="366">
        <f t="shared" si="258"/>
        <v>0</v>
      </c>
      <c r="GF50" s="366">
        <f t="shared" si="258"/>
        <v>0</v>
      </c>
      <c r="GG50" s="366">
        <f t="shared" si="258"/>
        <v>0</v>
      </c>
      <c r="GH50" s="366">
        <f t="shared" si="258"/>
        <v>0</v>
      </c>
      <c r="GI50" s="309">
        <f t="shared" ref="GI50" si="259">SUM(FW50:GH50)</f>
        <v>0</v>
      </c>
      <c r="GJ50" s="262" t="e">
        <f>GI50/$GI$6</f>
        <v>#DIV/0!</v>
      </c>
      <c r="HD50" s="65" t="s">
        <v>529</v>
      </c>
      <c r="HE50" s="66">
        <v>0</v>
      </c>
      <c r="HF50" s="67">
        <f t="shared" si="251"/>
        <v>0</v>
      </c>
      <c r="HG50" s="68">
        <f t="shared" si="252"/>
        <v>0</v>
      </c>
      <c r="HH50" s="69">
        <v>1</v>
      </c>
      <c r="HI50" s="367">
        <v>0</v>
      </c>
      <c r="HJ50" s="140"/>
      <c r="HM50" s="283"/>
      <c r="HN50" s="283"/>
      <c r="HO50" s="285"/>
      <c r="HP50" s="283"/>
      <c r="HQ50" s="286"/>
      <c r="HR50" s="283"/>
      <c r="HS50" s="286"/>
      <c r="HT50" s="283"/>
      <c r="HU50" s="286"/>
      <c r="HV50" s="283"/>
      <c r="HW50" s="286"/>
      <c r="HX50" s="283"/>
      <c r="HY50" s="286"/>
      <c r="HZ50" s="283"/>
      <c r="IA50" s="286"/>
      <c r="IB50" s="283"/>
      <c r="IC50" s="286"/>
      <c r="ID50" s="283"/>
      <c r="IE50" s="286"/>
      <c r="IF50" s="283"/>
      <c r="IG50" s="286"/>
      <c r="IH50" s="283"/>
      <c r="II50" s="286"/>
      <c r="IJ50" s="283"/>
      <c r="IK50" s="286"/>
      <c r="IL50" s="283"/>
      <c r="IM50" s="288"/>
    </row>
    <row r="51" spans="3:247" ht="14.4" customHeight="1" x14ac:dyDescent="0.3">
      <c r="C51" s="44" t="s">
        <v>749</v>
      </c>
      <c r="D51" s="232">
        <f>D49*D50</f>
        <v>10</v>
      </c>
      <c r="E51" s="1" t="s">
        <v>748</v>
      </c>
      <c r="AP51" s="296"/>
      <c r="AQ51" s="425" t="s">
        <v>362</v>
      </c>
      <c r="AR51" s="426">
        <f>AR50/$AR$52</f>
        <v>0</v>
      </c>
      <c r="AS51" s="427"/>
      <c r="AT51" s="427"/>
      <c r="AU51" s="427"/>
      <c r="BK51" s="242"/>
      <c r="BL51" s="303">
        <f>SUBTOTAL(109,Tabla2[Columna2])</f>
        <v>0</v>
      </c>
      <c r="BM51" s="303">
        <f>SUBTOTAL(109,Tabla2[Columna3])</f>
        <v>0</v>
      </c>
      <c r="BN51" s="303">
        <f>SUBTOTAL(109,Tabla2[Columna4])</f>
        <v>0</v>
      </c>
      <c r="BO51" s="303">
        <f>SUBTOTAL(109,Tabla2[Columna5])</f>
        <v>0</v>
      </c>
      <c r="BP51" s="303">
        <f>SUBTOTAL(109,Tabla2[Columna6])</f>
        <v>0</v>
      </c>
      <c r="BQ51" s="303">
        <f>SUBTOTAL(109,Tabla2[Columna7])</f>
        <v>0</v>
      </c>
      <c r="BR51" s="303">
        <f>SUBTOTAL(109,Tabla2[Columna8])</f>
        <v>0</v>
      </c>
      <c r="BS51" s="303">
        <f>SUBTOTAL(109,Tabla2[Columna9])</f>
        <v>0</v>
      </c>
      <c r="BT51" s="303">
        <f>SUBTOTAL(109,Tabla2[Columna10])</f>
        <v>0</v>
      </c>
      <c r="BU51" s="303">
        <f>SUBTOTAL(109,Tabla2[Columna11])</f>
        <v>0</v>
      </c>
      <c r="BV51" s="303">
        <f>SUBTOTAL(109,Tabla2[Columna12])</f>
        <v>0</v>
      </c>
      <c r="BW51" s="303">
        <f>SUBTOTAL(109,Tabla2[Columna13])</f>
        <v>0</v>
      </c>
      <c r="BX51" s="303">
        <f>SUBTOTAL(109,Tabla2[Columna14])</f>
        <v>0</v>
      </c>
      <c r="BY51" s="303">
        <f>SUBTOTAL(109,Tabla2[Columna15])</f>
        <v>0</v>
      </c>
      <c r="BZ51" s="303">
        <f>SUBTOTAL(109,Tabla2[Columna16])</f>
        <v>0</v>
      </c>
      <c r="CE51" s="428"/>
      <c r="CF51" s="337">
        <f>SUBTOTAL(109,Tabla29[Columna2])</f>
        <v>0</v>
      </c>
      <c r="CG51" s="337">
        <f>SUBTOTAL(109,Tabla29[Columna3])</f>
        <v>0</v>
      </c>
      <c r="CH51" s="337">
        <f>SUBTOTAL(109,Tabla29[Columna4])</f>
        <v>0</v>
      </c>
      <c r="CI51" s="337" t="e">
        <f>SUBTOTAL(109,Tabla29[Columna5])</f>
        <v>#DIV/0!</v>
      </c>
      <c r="CJ51" s="337" t="e">
        <f>SUBTOTAL(109,Tabla29[Columna6])</f>
        <v>#DIV/0!</v>
      </c>
      <c r="CK51" s="337" t="e">
        <f>SUBTOTAL(109,Tabla29[Columna7])</f>
        <v>#DIV/0!</v>
      </c>
      <c r="CL51" s="337" t="e">
        <f>SUBTOTAL(109,Tabla29[Columna8])</f>
        <v>#DIV/0!</v>
      </c>
      <c r="CM51" s="337" t="e">
        <f>SUBTOTAL(109,Tabla29[Columna9])</f>
        <v>#DIV/0!</v>
      </c>
      <c r="CN51" s="337" t="e">
        <f>SUBTOTAL(109,Tabla29[Columna10])</f>
        <v>#DIV/0!</v>
      </c>
      <c r="CO51" s="337" t="e">
        <f>SUBTOTAL(109,Tabla29[Columna11])</f>
        <v>#DIV/0!</v>
      </c>
      <c r="CP51" s="337" t="e">
        <f>SUBTOTAL(109,Tabla29[Columna12])</f>
        <v>#DIV/0!</v>
      </c>
      <c r="CQ51" s="337" t="e">
        <f>SUBTOTAL(109,Tabla29[Columna13])</f>
        <v>#DIV/0!</v>
      </c>
      <c r="CR51" s="337" t="e">
        <f>SUBTOTAL(109,Tabla29[Columna14])</f>
        <v>#DIV/0!</v>
      </c>
      <c r="CS51" s="337" t="e">
        <f>SUBTOTAL(109,Tabla29[Columna15])</f>
        <v>#DIV/0!</v>
      </c>
      <c r="CT51" s="337" t="e">
        <f>SUBTOTAL(109,Tabla29[Columna16])</f>
        <v>#DIV/0!</v>
      </c>
      <c r="CY51" s="428"/>
      <c r="CZ51" s="337" t="e">
        <f>SUBTOTAL(109,Tabla292[Columna2])</f>
        <v>#DIV/0!</v>
      </c>
      <c r="DA51" s="337" t="e">
        <f>SUBTOTAL(109,Tabla292[Columna3])</f>
        <v>#DIV/0!</v>
      </c>
      <c r="DB51" s="337" t="e">
        <f>SUBTOTAL(109,Tabla292[Columna4])</f>
        <v>#DIV/0!</v>
      </c>
      <c r="DC51" s="337" t="e">
        <f>SUBTOTAL(109,Tabla292[Columna5])</f>
        <v>#DIV/0!</v>
      </c>
      <c r="DD51" s="337" t="e">
        <f>SUBTOTAL(109,Tabla292[Columna6])</f>
        <v>#DIV/0!</v>
      </c>
      <c r="DE51" s="337" t="e">
        <f>SUBTOTAL(109,Tabla292[Columna7])</f>
        <v>#DIV/0!</v>
      </c>
      <c r="DF51" s="337" t="e">
        <f>SUBTOTAL(109,Tabla292[Columna8])</f>
        <v>#DIV/0!</v>
      </c>
      <c r="DG51" s="337" t="e">
        <f>SUBTOTAL(109,Tabla292[Columna9])</f>
        <v>#DIV/0!</v>
      </c>
      <c r="DH51" s="337" t="e">
        <f>SUBTOTAL(109,Tabla292[Columna10])</f>
        <v>#DIV/0!</v>
      </c>
      <c r="DI51" s="337" t="e">
        <f>SUBTOTAL(109,Tabla292[Columna11])</f>
        <v>#DIV/0!</v>
      </c>
      <c r="DJ51" s="337" t="e">
        <f>SUBTOTAL(109,Tabla292[Columna12])</f>
        <v>#DIV/0!</v>
      </c>
      <c r="DK51" s="337" t="e">
        <f>SUBTOTAL(109,Tabla292[Columna13])</f>
        <v>#DIV/0!</v>
      </c>
      <c r="DL51" s="337" t="e">
        <f>SUBTOTAL(109,Tabla292[Columna14])</f>
        <v>#DIV/0!</v>
      </c>
      <c r="DM51" s="337" t="e">
        <f>SUBTOTAL(109,Tabla292[Columna15])</f>
        <v>#DIV/0!</v>
      </c>
      <c r="DN51" s="337" t="e">
        <f>SUBTOTAL(109,Tabla292[Columna16])</f>
        <v>#DIV/0!</v>
      </c>
      <c r="DS51" s="428"/>
      <c r="DT51" s="337" t="e">
        <f>SUBTOTAL(109,Tabla2926[Columna2])</f>
        <v>#DIV/0!</v>
      </c>
      <c r="DU51" s="337" t="e">
        <f>SUBTOTAL(109,Tabla2926[Columna3])</f>
        <v>#DIV/0!</v>
      </c>
      <c r="DV51" s="337" t="e">
        <f>SUBTOTAL(109,Tabla2926[Columna4])</f>
        <v>#DIV/0!</v>
      </c>
      <c r="DW51" s="337" t="e">
        <f>SUBTOTAL(109,Tabla2926[Columna5])</f>
        <v>#DIV/0!</v>
      </c>
      <c r="DX51" s="337" t="e">
        <f>SUBTOTAL(109,Tabla2926[Columna6])</f>
        <v>#DIV/0!</v>
      </c>
      <c r="DY51" s="337" t="e">
        <f>SUBTOTAL(109,Tabla2926[Columna7])</f>
        <v>#DIV/0!</v>
      </c>
      <c r="DZ51" s="337" t="e">
        <f>SUBTOTAL(109,Tabla2926[Columna8])</f>
        <v>#DIV/0!</v>
      </c>
      <c r="EA51" s="337" t="e">
        <f>SUBTOTAL(109,Tabla2926[Columna9])</f>
        <v>#DIV/0!</v>
      </c>
      <c r="EB51" s="337" t="e">
        <f>SUBTOTAL(109,Tabla2926[Columna10])</f>
        <v>#DIV/0!</v>
      </c>
      <c r="EC51" s="337" t="e">
        <f>SUBTOTAL(109,Tabla2926[Columna11])</f>
        <v>#DIV/0!</v>
      </c>
      <c r="ED51" s="337" t="e">
        <f>SUBTOTAL(109,Tabla2926[Columna12])</f>
        <v>#DIV/0!</v>
      </c>
      <c r="EE51" s="337" t="e">
        <f>SUBTOTAL(109,Tabla2926[Columna13])</f>
        <v>#DIV/0!</v>
      </c>
      <c r="EF51" s="337" t="e">
        <f>SUBTOTAL(109,Tabla2926[Columna14])</f>
        <v>#DIV/0!</v>
      </c>
      <c r="EG51" s="337" t="e">
        <f>SUBTOTAL(109,Tabla2926[Columna15])</f>
        <v>#DIV/0!</v>
      </c>
      <c r="EH51" s="337" t="e">
        <f>SUBTOTAL(109,Tabla2926[Columna16])</f>
        <v>#DIV/0!</v>
      </c>
      <c r="EM51" s="428"/>
      <c r="EN51" s="337" t="e">
        <f>SUBTOTAL(109,Tabla29268[Columna2])</f>
        <v>#DIV/0!</v>
      </c>
      <c r="EO51" s="337" t="e">
        <f>SUBTOTAL(109,Tabla29268[Columna3])</f>
        <v>#DIV/0!</v>
      </c>
      <c r="EP51" s="337" t="e">
        <f>SUBTOTAL(109,Tabla29268[Columna4])</f>
        <v>#DIV/0!</v>
      </c>
      <c r="EQ51" s="337" t="e">
        <f>SUBTOTAL(109,Tabla29268[Columna5])</f>
        <v>#DIV/0!</v>
      </c>
      <c r="ER51" s="337" t="e">
        <f>SUBTOTAL(109,Tabla29268[Columna6])</f>
        <v>#DIV/0!</v>
      </c>
      <c r="ES51" s="337" t="e">
        <f>SUBTOTAL(109,Tabla29268[Columna7])</f>
        <v>#DIV/0!</v>
      </c>
      <c r="ET51" s="337" t="e">
        <f>SUBTOTAL(109,Tabla29268[Columna8])</f>
        <v>#DIV/0!</v>
      </c>
      <c r="EU51" s="337" t="e">
        <f>SUBTOTAL(109,Tabla29268[Columna9])</f>
        <v>#DIV/0!</v>
      </c>
      <c r="EV51" s="337" t="e">
        <f>SUBTOTAL(109,Tabla29268[Columna10])</f>
        <v>#DIV/0!</v>
      </c>
      <c r="EW51" s="337" t="e">
        <f>SUBTOTAL(109,Tabla29268[Columna11])</f>
        <v>#DIV/0!</v>
      </c>
      <c r="EX51" s="337" t="e">
        <f>SUBTOTAL(109,Tabla29268[Columna12])</f>
        <v>#DIV/0!</v>
      </c>
      <c r="EY51" s="337" t="e">
        <f>SUBTOTAL(109,Tabla29268[Columna13])</f>
        <v>#DIV/0!</v>
      </c>
      <c r="EZ51" s="337" t="e">
        <f>SUBTOTAL(109,Tabla29268[Columna14])</f>
        <v>#DIV/0!</v>
      </c>
      <c r="FA51" s="337" t="e">
        <f>SUBTOTAL(109,Tabla29268[Columna15])</f>
        <v>#DIV/0!</v>
      </c>
      <c r="FB51" s="337" t="e">
        <f>SUBTOTAL(109,Tabla29268[Columna16])</f>
        <v>#DIV/0!</v>
      </c>
      <c r="FD51" s="429" t="s">
        <v>59</v>
      </c>
      <c r="FE51" s="399" t="s">
        <v>56</v>
      </c>
      <c r="FF51" s="400">
        <f t="shared" si="257"/>
        <v>0</v>
      </c>
      <c r="FG51" s="400">
        <f t="shared" si="257"/>
        <v>0</v>
      </c>
      <c r="FH51" s="400">
        <f t="shared" si="257"/>
        <v>0</v>
      </c>
      <c r="FI51" s="400">
        <f t="shared" si="257"/>
        <v>0</v>
      </c>
      <c r="FJ51" s="400">
        <f t="shared" si="257"/>
        <v>0</v>
      </c>
      <c r="FK51" s="400">
        <f t="shared" si="257"/>
        <v>0</v>
      </c>
      <c r="FL51" s="400">
        <f t="shared" si="257"/>
        <v>0</v>
      </c>
      <c r="FM51" s="400">
        <f t="shared" si="257"/>
        <v>0</v>
      </c>
      <c r="FN51" s="400">
        <f t="shared" si="257"/>
        <v>0</v>
      </c>
      <c r="FO51" s="400">
        <f t="shared" si="257"/>
        <v>0</v>
      </c>
      <c r="FP51" s="400">
        <f t="shared" si="257"/>
        <v>0</v>
      </c>
      <c r="FQ51" s="400">
        <f t="shared" si="257"/>
        <v>0</v>
      </c>
      <c r="FR51" s="363">
        <f t="shared" si="197"/>
        <v>0</v>
      </c>
      <c r="FS51" s="260" t="e">
        <f t="shared" si="198"/>
        <v>#DIV/0!</v>
      </c>
      <c r="FV51" s="361"/>
      <c r="FW51" s="362"/>
      <c r="FX51" s="362"/>
      <c r="FY51" s="362"/>
      <c r="FZ51" s="362"/>
      <c r="GA51" s="362"/>
      <c r="GB51" s="362"/>
      <c r="GC51" s="362"/>
      <c r="GD51" s="362"/>
      <c r="GE51" s="362"/>
      <c r="GF51" s="362"/>
      <c r="GG51" s="362"/>
      <c r="GH51" s="362"/>
      <c r="GI51" s="362"/>
      <c r="GJ51" s="365"/>
      <c r="HD51" s="65" t="s">
        <v>525</v>
      </c>
      <c r="HE51" s="66">
        <v>0</v>
      </c>
      <c r="HF51" s="67">
        <f t="shared" si="251"/>
        <v>0</v>
      </c>
      <c r="HG51" s="68">
        <f t="shared" si="252"/>
        <v>0</v>
      </c>
      <c r="HH51" s="69">
        <v>1</v>
      </c>
      <c r="HI51" s="367">
        <v>0</v>
      </c>
      <c r="HJ51" s="140"/>
      <c r="HM51" s="430" t="s">
        <v>603</v>
      </c>
      <c r="HN51" s="283"/>
      <c r="HO51" s="285"/>
      <c r="HP51" s="283"/>
      <c r="HQ51" s="286"/>
      <c r="HR51" s="283"/>
      <c r="HS51" s="286"/>
      <c r="HT51" s="283"/>
      <c r="HU51" s="286"/>
      <c r="HV51" s="283"/>
      <c r="HW51" s="286"/>
      <c r="HX51" s="283"/>
      <c r="HY51" s="286"/>
      <c r="HZ51" s="283"/>
      <c r="IA51" s="286"/>
      <c r="IB51" s="283"/>
      <c r="IC51" s="286"/>
      <c r="ID51" s="283"/>
      <c r="IE51" s="286"/>
      <c r="IF51" s="283"/>
      <c r="IG51" s="286"/>
      <c r="IH51" s="283"/>
      <c r="II51" s="286"/>
      <c r="IJ51" s="283"/>
      <c r="IK51" s="286"/>
      <c r="IL51" s="283"/>
      <c r="IM51" s="288"/>
    </row>
    <row r="52" spans="3:247" ht="14.4" customHeight="1" x14ac:dyDescent="0.3">
      <c r="C52" s="44" t="s">
        <v>750</v>
      </c>
      <c r="D52" s="232" t="e">
        <f>D51/D46</f>
        <v>#DIV/0!</v>
      </c>
      <c r="E52" s="1" t="s">
        <v>748</v>
      </c>
      <c r="AQ52" s="242" t="s">
        <v>364</v>
      </c>
      <c r="AR52" s="422">
        <v>35.521000000000001</v>
      </c>
      <c r="FD52" s="397" t="s">
        <v>61</v>
      </c>
      <c r="FE52" s="399" t="s">
        <v>58</v>
      </c>
      <c r="FF52" s="400">
        <f t="shared" si="257"/>
        <v>0</v>
      </c>
      <c r="FG52" s="400">
        <f t="shared" si="257"/>
        <v>0</v>
      </c>
      <c r="FH52" s="400">
        <f t="shared" si="257"/>
        <v>0</v>
      </c>
      <c r="FI52" s="400">
        <f t="shared" si="257"/>
        <v>0</v>
      </c>
      <c r="FJ52" s="400">
        <f t="shared" si="257"/>
        <v>0</v>
      </c>
      <c r="FK52" s="400">
        <f t="shared" si="257"/>
        <v>0</v>
      </c>
      <c r="FL52" s="400">
        <f t="shared" si="257"/>
        <v>0</v>
      </c>
      <c r="FM52" s="400">
        <f t="shared" si="257"/>
        <v>0</v>
      </c>
      <c r="FN52" s="400">
        <f t="shared" si="257"/>
        <v>0</v>
      </c>
      <c r="FO52" s="400">
        <f t="shared" si="257"/>
        <v>0</v>
      </c>
      <c r="FP52" s="400">
        <f t="shared" si="257"/>
        <v>0</v>
      </c>
      <c r="FQ52" s="400">
        <f t="shared" si="257"/>
        <v>0</v>
      </c>
      <c r="FR52" s="363">
        <f t="shared" si="197"/>
        <v>0</v>
      </c>
      <c r="FS52" s="260" t="e">
        <f t="shared" si="198"/>
        <v>#DIV/0!</v>
      </c>
      <c r="FV52" s="357" t="s">
        <v>252</v>
      </c>
      <c r="FW52" s="358" t="e">
        <f>+FW48-FW50</f>
        <v>#DIV/0!</v>
      </c>
      <c r="FX52" s="358" t="e">
        <f t="shared" ref="FX52:GH52" si="260">+FX48-FX50</f>
        <v>#DIV/0!</v>
      </c>
      <c r="FY52" s="358" t="e">
        <f t="shared" si="260"/>
        <v>#DIV/0!</v>
      </c>
      <c r="FZ52" s="358" t="e">
        <f t="shared" si="260"/>
        <v>#DIV/0!</v>
      </c>
      <c r="GA52" s="358" t="e">
        <f t="shared" si="260"/>
        <v>#DIV/0!</v>
      </c>
      <c r="GB52" s="358" t="e">
        <f t="shared" si="260"/>
        <v>#DIV/0!</v>
      </c>
      <c r="GC52" s="358" t="e">
        <f t="shared" si="260"/>
        <v>#DIV/0!</v>
      </c>
      <c r="GD52" s="358" t="e">
        <f t="shared" si="260"/>
        <v>#DIV/0!</v>
      </c>
      <c r="GE52" s="358" t="e">
        <f t="shared" si="260"/>
        <v>#DIV/0!</v>
      </c>
      <c r="GF52" s="358" t="e">
        <f t="shared" si="260"/>
        <v>#DIV/0!</v>
      </c>
      <c r="GG52" s="358" t="e">
        <f t="shared" si="260"/>
        <v>#DIV/0!</v>
      </c>
      <c r="GH52" s="358" t="e">
        <f t="shared" si="260"/>
        <v>#DIV/0!</v>
      </c>
      <c r="GI52" s="309" t="e">
        <f t="shared" ref="GI52" si="261">SUM(FW52:GH52)</f>
        <v>#DIV/0!</v>
      </c>
      <c r="GJ52" s="262" t="e">
        <f>GI52/$GI$6</f>
        <v>#DIV/0!</v>
      </c>
      <c r="HD52" s="65" t="s">
        <v>656</v>
      </c>
      <c r="HE52" s="66">
        <v>0</v>
      </c>
      <c r="HF52" s="67">
        <f t="shared" si="251"/>
        <v>0</v>
      </c>
      <c r="HG52" s="68">
        <f t="shared" si="252"/>
        <v>0</v>
      </c>
      <c r="HH52" s="69">
        <v>1</v>
      </c>
      <c r="HI52" s="367">
        <v>0</v>
      </c>
      <c r="HJ52" s="140"/>
      <c r="HM52" s="283" t="s">
        <v>604</v>
      </c>
      <c r="HN52" s="283"/>
      <c r="HO52" s="285"/>
      <c r="HP52" s="283"/>
      <c r="HQ52" s="286"/>
      <c r="HR52" s="283"/>
      <c r="HS52" s="286"/>
      <c r="HT52" s="283"/>
      <c r="HU52" s="286"/>
      <c r="HV52" s="283"/>
      <c r="HW52" s="286"/>
      <c r="HX52" s="283"/>
      <c r="HY52" s="286"/>
      <c r="HZ52" s="283"/>
      <c r="IA52" s="286"/>
      <c r="IB52" s="283"/>
      <c r="IC52" s="286"/>
      <c r="ID52" s="283"/>
      <c r="IE52" s="286"/>
      <c r="IF52" s="283"/>
      <c r="IG52" s="286"/>
      <c r="IH52" s="283"/>
      <c r="II52" s="286"/>
      <c r="IJ52" s="283"/>
      <c r="IK52" s="286"/>
      <c r="IL52" s="283"/>
      <c r="IM52" s="288"/>
    </row>
    <row r="53" spans="3:247" ht="14.4" customHeight="1" x14ac:dyDescent="0.3">
      <c r="BO53" s="533" t="s">
        <v>386</v>
      </c>
      <c r="BP53" s="533"/>
      <c r="BQ53" s="533"/>
      <c r="BR53" s="533"/>
      <c r="BS53" s="533"/>
      <c r="BT53" s="533"/>
      <c r="BU53" s="533"/>
      <c r="BV53" s="533"/>
      <c r="BW53" s="533"/>
      <c r="BX53" s="533"/>
      <c r="BY53" s="533"/>
      <c r="BZ53" s="533"/>
      <c r="CI53" s="533" t="s">
        <v>409</v>
      </c>
      <c r="CJ53" s="533"/>
      <c r="CK53" s="533"/>
      <c r="CL53" s="533"/>
      <c r="CM53" s="533"/>
      <c r="CN53" s="533"/>
      <c r="CO53" s="533"/>
      <c r="CP53" s="533"/>
      <c r="CQ53" s="533"/>
      <c r="CR53" s="533"/>
      <c r="CS53" s="533"/>
      <c r="CT53" s="533"/>
      <c r="DC53" s="533" t="s">
        <v>412</v>
      </c>
      <c r="DD53" s="533"/>
      <c r="DE53" s="533"/>
      <c r="DF53" s="533"/>
      <c r="DG53" s="533"/>
      <c r="DH53" s="533"/>
      <c r="DI53" s="533"/>
      <c r="DJ53" s="533"/>
      <c r="DK53" s="533"/>
      <c r="DL53" s="533"/>
      <c r="DM53" s="533"/>
      <c r="DN53" s="533"/>
      <c r="DW53" s="533" t="s">
        <v>417</v>
      </c>
      <c r="DX53" s="533"/>
      <c r="DY53" s="533"/>
      <c r="DZ53" s="533"/>
      <c r="EA53" s="533"/>
      <c r="EB53" s="533"/>
      <c r="EC53" s="533"/>
      <c r="ED53" s="533"/>
      <c r="EE53" s="533"/>
      <c r="EF53" s="533"/>
      <c r="EG53" s="533"/>
      <c r="EH53" s="533"/>
      <c r="EQ53" s="533" t="s">
        <v>419</v>
      </c>
      <c r="ER53" s="533"/>
      <c r="ES53" s="533"/>
      <c r="ET53" s="533"/>
      <c r="EU53" s="533"/>
      <c r="EV53" s="533"/>
      <c r="EW53" s="533"/>
      <c r="EX53" s="533"/>
      <c r="EY53" s="533"/>
      <c r="EZ53" s="533"/>
      <c r="FA53" s="533"/>
      <c r="FB53" s="533"/>
      <c r="FD53" s="397" t="s">
        <v>63</v>
      </c>
      <c r="FE53" s="357" t="s">
        <v>60</v>
      </c>
      <c r="FF53" s="325">
        <f>+FF54+FF55</f>
        <v>0</v>
      </c>
      <c r="FG53" s="325">
        <f t="shared" ref="FG53:FQ53" si="262">+FG54+FG55</f>
        <v>0</v>
      </c>
      <c r="FH53" s="325">
        <f t="shared" si="262"/>
        <v>0</v>
      </c>
      <c r="FI53" s="325">
        <f t="shared" si="262"/>
        <v>0</v>
      </c>
      <c r="FJ53" s="325">
        <f t="shared" si="262"/>
        <v>0</v>
      </c>
      <c r="FK53" s="325">
        <f t="shared" si="262"/>
        <v>0</v>
      </c>
      <c r="FL53" s="325">
        <f t="shared" si="262"/>
        <v>0</v>
      </c>
      <c r="FM53" s="325">
        <f t="shared" si="262"/>
        <v>0</v>
      </c>
      <c r="FN53" s="325">
        <f t="shared" si="262"/>
        <v>0</v>
      </c>
      <c r="FO53" s="325">
        <f t="shared" si="262"/>
        <v>0</v>
      </c>
      <c r="FP53" s="325">
        <f t="shared" si="262"/>
        <v>0</v>
      </c>
      <c r="FQ53" s="325">
        <f t="shared" si="262"/>
        <v>0</v>
      </c>
      <c r="FR53" s="309">
        <f t="shared" si="197"/>
        <v>0</v>
      </c>
      <c r="FS53" s="260" t="e">
        <f t="shared" si="198"/>
        <v>#DIV/0!</v>
      </c>
      <c r="FV53" s="361"/>
      <c r="FW53" s="362"/>
      <c r="FX53" s="362"/>
      <c r="FY53" s="362"/>
      <c r="FZ53" s="362"/>
      <c r="GA53" s="362"/>
      <c r="GB53" s="362"/>
      <c r="GC53" s="362"/>
      <c r="GD53" s="362"/>
      <c r="GE53" s="362"/>
      <c r="GF53" s="362"/>
      <c r="GG53" s="362"/>
      <c r="GH53" s="362"/>
      <c r="GI53" s="362"/>
      <c r="GJ53" s="387"/>
      <c r="HD53" s="65" t="s">
        <v>530</v>
      </c>
      <c r="HE53" s="66">
        <v>0</v>
      </c>
      <c r="HF53" s="67">
        <f t="shared" si="251"/>
        <v>0</v>
      </c>
      <c r="HG53" s="68">
        <f t="shared" si="252"/>
        <v>0</v>
      </c>
      <c r="HH53" s="69">
        <v>1</v>
      </c>
      <c r="HI53" s="367">
        <v>0</v>
      </c>
      <c r="HJ53" s="140"/>
      <c r="HM53" s="283"/>
      <c r="HN53" s="283"/>
      <c r="HO53" s="285"/>
      <c r="HP53" s="283"/>
      <c r="HQ53" s="286"/>
      <c r="HR53" s="283"/>
      <c r="HS53" s="286"/>
      <c r="HT53" s="283"/>
      <c r="HU53" s="286"/>
      <c r="HV53" s="283"/>
      <c r="HW53" s="286"/>
      <c r="HX53" s="283"/>
      <c r="HY53" s="286"/>
      <c r="HZ53" s="283"/>
      <c r="IA53" s="286"/>
      <c r="IB53" s="283"/>
      <c r="IC53" s="286"/>
      <c r="ID53" s="283"/>
      <c r="IE53" s="286"/>
      <c r="IF53" s="283"/>
      <c r="IG53" s="286"/>
      <c r="IH53" s="283"/>
      <c r="II53" s="286"/>
      <c r="IJ53" s="283"/>
      <c r="IK53" s="286"/>
      <c r="IL53" s="283"/>
      <c r="IM53" s="288"/>
    </row>
    <row r="54" spans="3:247" ht="14.4" customHeight="1" x14ac:dyDescent="0.3">
      <c r="AM54" s="532" t="s">
        <v>368</v>
      </c>
      <c r="AN54" s="532"/>
      <c r="AO54" s="532"/>
      <c r="AP54" s="532"/>
      <c r="AQ54" s="532"/>
      <c r="AR54" s="532"/>
      <c r="AS54" s="532"/>
      <c r="AT54" s="532"/>
      <c r="AU54" s="532"/>
      <c r="BO54" s="533"/>
      <c r="BP54" s="533"/>
      <c r="BQ54" s="533"/>
      <c r="BR54" s="533"/>
      <c r="BS54" s="533"/>
      <c r="BT54" s="533"/>
      <c r="BU54" s="533"/>
      <c r="BV54" s="533"/>
      <c r="BW54" s="533"/>
      <c r="BX54" s="533"/>
      <c r="BY54" s="533"/>
      <c r="BZ54" s="533"/>
      <c r="CI54" s="533"/>
      <c r="CJ54" s="533"/>
      <c r="CK54" s="533"/>
      <c r="CL54" s="533"/>
      <c r="CM54" s="533"/>
      <c r="CN54" s="533"/>
      <c r="CO54" s="533"/>
      <c r="CP54" s="533"/>
      <c r="CQ54" s="533"/>
      <c r="CR54" s="533"/>
      <c r="CS54" s="533"/>
      <c r="CT54" s="533"/>
      <c r="DC54" s="533"/>
      <c r="DD54" s="533"/>
      <c r="DE54" s="533"/>
      <c r="DF54" s="533"/>
      <c r="DG54" s="533"/>
      <c r="DH54" s="533"/>
      <c r="DI54" s="533"/>
      <c r="DJ54" s="533"/>
      <c r="DK54" s="533"/>
      <c r="DL54" s="533"/>
      <c r="DM54" s="533"/>
      <c r="DN54" s="533"/>
      <c r="DW54" s="533"/>
      <c r="DX54" s="533"/>
      <c r="DY54" s="533"/>
      <c r="DZ54" s="533"/>
      <c r="EA54" s="533"/>
      <c r="EB54" s="533"/>
      <c r="EC54" s="533"/>
      <c r="ED54" s="533"/>
      <c r="EE54" s="533"/>
      <c r="EF54" s="533"/>
      <c r="EG54" s="533"/>
      <c r="EH54" s="533"/>
      <c r="EQ54" s="533"/>
      <c r="ER54" s="533"/>
      <c r="ES54" s="533"/>
      <c r="ET54" s="533"/>
      <c r="EU54" s="533"/>
      <c r="EV54" s="533"/>
      <c r="EW54" s="533"/>
      <c r="EX54" s="533"/>
      <c r="EY54" s="533"/>
      <c r="EZ54" s="533"/>
      <c r="FA54" s="533"/>
      <c r="FB54" s="533"/>
      <c r="FD54" s="429" t="s">
        <v>65</v>
      </c>
      <c r="FE54" s="399" t="s">
        <v>62</v>
      </c>
      <c r="FF54" s="400">
        <f t="shared" ref="FF54:FQ55" si="263">+FF229/FF$376</f>
        <v>0</v>
      </c>
      <c r="FG54" s="400">
        <f t="shared" si="263"/>
        <v>0</v>
      </c>
      <c r="FH54" s="400">
        <f t="shared" si="263"/>
        <v>0</v>
      </c>
      <c r="FI54" s="400">
        <f t="shared" si="263"/>
        <v>0</v>
      </c>
      <c r="FJ54" s="400">
        <f t="shared" si="263"/>
        <v>0</v>
      </c>
      <c r="FK54" s="400">
        <f t="shared" si="263"/>
        <v>0</v>
      </c>
      <c r="FL54" s="400">
        <f t="shared" si="263"/>
        <v>0</v>
      </c>
      <c r="FM54" s="400">
        <f t="shared" si="263"/>
        <v>0</v>
      </c>
      <c r="FN54" s="400">
        <f t="shared" si="263"/>
        <v>0</v>
      </c>
      <c r="FO54" s="400">
        <f t="shared" si="263"/>
        <v>0</v>
      </c>
      <c r="FP54" s="400">
        <f t="shared" si="263"/>
        <v>0</v>
      </c>
      <c r="FQ54" s="400">
        <f t="shared" si="263"/>
        <v>0</v>
      </c>
      <c r="FR54" s="363">
        <f t="shared" si="197"/>
        <v>0</v>
      </c>
      <c r="FS54" s="260" t="e">
        <f t="shared" si="198"/>
        <v>#DIV/0!</v>
      </c>
      <c r="FV54" s="357" t="s">
        <v>739</v>
      </c>
      <c r="FW54" s="366">
        <f>$HK$10+$HK$18</f>
        <v>-1.6666666666666666E-2</v>
      </c>
      <c r="FX54" s="366">
        <f t="shared" ref="FX54:GB54" si="264">$HK$10+$HK$18</f>
        <v>-1.6666666666666666E-2</v>
      </c>
      <c r="FY54" s="366">
        <f t="shared" si="264"/>
        <v>-1.6666666666666666E-2</v>
      </c>
      <c r="FZ54" s="366">
        <f t="shared" si="264"/>
        <v>-1.6666666666666666E-2</v>
      </c>
      <c r="GA54" s="366">
        <f t="shared" si="264"/>
        <v>-1.6666666666666666E-2</v>
      </c>
      <c r="GB54" s="366">
        <f t="shared" si="264"/>
        <v>-1.6666666666666666E-2</v>
      </c>
      <c r="GC54" s="366">
        <f>$HK$18</f>
        <v>-1.6666666666666666E-2</v>
      </c>
      <c r="GD54" s="366">
        <f t="shared" ref="GD54:GH54" si="265">$HK$18</f>
        <v>-1.6666666666666666E-2</v>
      </c>
      <c r="GE54" s="366">
        <f t="shared" si="265"/>
        <v>-1.6666666666666666E-2</v>
      </c>
      <c r="GF54" s="366">
        <f t="shared" si="265"/>
        <v>-1.6666666666666666E-2</v>
      </c>
      <c r="GG54" s="366">
        <f t="shared" si="265"/>
        <v>-1.6666666666666666E-2</v>
      </c>
      <c r="GH54" s="366">
        <f t="shared" si="265"/>
        <v>-1.6666666666666666E-2</v>
      </c>
      <c r="GI54" s="309">
        <f t="shared" ref="GI54" si="266">SUM(FW54:GH54)</f>
        <v>-0.19999999999999998</v>
      </c>
      <c r="GJ54" s="262" t="e">
        <f>GI54/$GI$6</f>
        <v>#DIV/0!</v>
      </c>
      <c r="HD54" s="65" t="s">
        <v>658</v>
      </c>
      <c r="HE54" s="66">
        <v>0</v>
      </c>
      <c r="HF54" s="67">
        <f t="shared" si="251"/>
        <v>0</v>
      </c>
      <c r="HG54" s="68">
        <f t="shared" si="252"/>
        <v>0</v>
      </c>
      <c r="HH54" s="69">
        <v>1</v>
      </c>
      <c r="HI54" s="367">
        <v>0</v>
      </c>
      <c r="HJ54" s="139"/>
      <c r="HM54" s="283"/>
      <c r="HN54" s="283"/>
      <c r="HO54" s="285"/>
      <c r="HP54" s="283"/>
      <c r="HQ54" s="286"/>
      <c r="HR54" s="283"/>
      <c r="HS54" s="286"/>
      <c r="HT54" s="283"/>
      <c r="HU54" s="286"/>
      <c r="HV54" s="283"/>
      <c r="HW54" s="286"/>
      <c r="HX54" s="283"/>
      <c r="HY54" s="286"/>
      <c r="HZ54" s="283"/>
      <c r="IA54" s="286"/>
      <c r="IB54" s="283"/>
      <c r="IC54" s="286"/>
      <c r="ID54" s="283"/>
      <c r="IE54" s="286"/>
      <c r="IF54" s="283"/>
      <c r="IG54" s="286"/>
      <c r="IH54" s="283"/>
      <c r="II54" s="286"/>
      <c r="IJ54" s="283"/>
      <c r="IK54" s="286"/>
      <c r="IL54" s="283"/>
      <c r="IM54" s="288"/>
    </row>
    <row r="55" spans="3:247" ht="14.4" customHeight="1" x14ac:dyDescent="0.3">
      <c r="AM55" s="241" t="s">
        <v>284</v>
      </c>
      <c r="AN55" s="241" t="s">
        <v>285</v>
      </c>
      <c r="AO55" s="241" t="s">
        <v>286</v>
      </c>
      <c r="AP55" s="241" t="s">
        <v>287</v>
      </c>
      <c r="AQ55" s="241" t="s">
        <v>288</v>
      </c>
      <c r="AR55" s="270" t="s">
        <v>289</v>
      </c>
      <c r="AS55" s="270"/>
      <c r="AT55" s="270"/>
      <c r="AU55" s="270"/>
      <c r="AV55" s="241" t="s">
        <v>768</v>
      </c>
      <c r="BO55" s="523" t="s">
        <v>406</v>
      </c>
      <c r="BP55" s="523"/>
      <c r="BQ55" s="523"/>
      <c r="BR55" s="523"/>
      <c r="BS55" s="523"/>
      <c r="BT55" s="523"/>
      <c r="BU55" s="523"/>
      <c r="BV55" s="523"/>
      <c r="BW55" s="523"/>
      <c r="BX55" s="523"/>
      <c r="BY55" s="523"/>
      <c r="BZ55" s="523"/>
      <c r="CE55" s="522" t="s">
        <v>415</v>
      </c>
      <c r="CF55" s="522"/>
      <c r="CG55" s="522"/>
      <c r="CH55" s="431">
        <f>CH4</f>
        <v>1.05</v>
      </c>
      <c r="CI55" s="523" t="s">
        <v>411</v>
      </c>
      <c r="CJ55" s="523"/>
      <c r="CK55" s="523"/>
      <c r="CL55" s="523"/>
      <c r="CM55" s="523"/>
      <c r="CN55" s="523"/>
      <c r="CO55" s="523"/>
      <c r="CP55" s="523"/>
      <c r="CQ55" s="523"/>
      <c r="CR55" s="523"/>
      <c r="CS55" s="523"/>
      <c r="CT55" s="523"/>
      <c r="CY55" s="522" t="s">
        <v>415</v>
      </c>
      <c r="CZ55" s="522"/>
      <c r="DA55" s="522"/>
      <c r="DB55" s="431">
        <f>DB4</f>
        <v>1.05</v>
      </c>
      <c r="DC55" s="523" t="s">
        <v>413</v>
      </c>
      <c r="DD55" s="523"/>
      <c r="DE55" s="523"/>
      <c r="DF55" s="523"/>
      <c r="DG55" s="523"/>
      <c r="DH55" s="523"/>
      <c r="DI55" s="523"/>
      <c r="DJ55" s="523"/>
      <c r="DK55" s="523"/>
      <c r="DL55" s="523"/>
      <c r="DM55" s="523"/>
      <c r="DN55" s="523"/>
      <c r="DS55" s="522" t="s">
        <v>415</v>
      </c>
      <c r="DT55" s="522"/>
      <c r="DU55" s="522"/>
      <c r="DV55" s="431">
        <f>DV4</f>
        <v>1.05</v>
      </c>
      <c r="DW55" s="523" t="s">
        <v>418</v>
      </c>
      <c r="DX55" s="523"/>
      <c r="DY55" s="523"/>
      <c r="DZ55" s="523"/>
      <c r="EA55" s="523"/>
      <c r="EB55" s="523"/>
      <c r="EC55" s="523"/>
      <c r="ED55" s="523"/>
      <c r="EE55" s="523"/>
      <c r="EF55" s="523"/>
      <c r="EG55" s="523"/>
      <c r="EH55" s="523"/>
      <c r="EM55" s="522" t="s">
        <v>415</v>
      </c>
      <c r="EN55" s="522"/>
      <c r="EO55" s="522"/>
      <c r="EP55" s="431">
        <f>EP4</f>
        <v>1.05</v>
      </c>
      <c r="EQ55" s="523" t="s">
        <v>421</v>
      </c>
      <c r="ER55" s="523"/>
      <c r="ES55" s="523"/>
      <c r="ET55" s="523"/>
      <c r="EU55" s="523"/>
      <c r="EV55" s="523"/>
      <c r="EW55" s="523"/>
      <c r="EX55" s="523"/>
      <c r="EY55" s="523"/>
      <c r="EZ55" s="523"/>
      <c r="FA55" s="523"/>
      <c r="FB55" s="523"/>
      <c r="FD55" s="397" t="s">
        <v>67</v>
      </c>
      <c r="FE55" s="399" t="s">
        <v>64</v>
      </c>
      <c r="FF55" s="400">
        <f t="shared" si="263"/>
        <v>0</v>
      </c>
      <c r="FG55" s="400">
        <f t="shared" si="263"/>
        <v>0</v>
      </c>
      <c r="FH55" s="400">
        <f t="shared" si="263"/>
        <v>0</v>
      </c>
      <c r="FI55" s="400">
        <f t="shared" si="263"/>
        <v>0</v>
      </c>
      <c r="FJ55" s="400">
        <f t="shared" si="263"/>
        <v>0</v>
      </c>
      <c r="FK55" s="400">
        <f t="shared" si="263"/>
        <v>0</v>
      </c>
      <c r="FL55" s="400">
        <f t="shared" si="263"/>
        <v>0</v>
      </c>
      <c r="FM55" s="400">
        <f t="shared" si="263"/>
        <v>0</v>
      </c>
      <c r="FN55" s="400">
        <f t="shared" si="263"/>
        <v>0</v>
      </c>
      <c r="FO55" s="400">
        <f t="shared" si="263"/>
        <v>0</v>
      </c>
      <c r="FP55" s="400">
        <f t="shared" si="263"/>
        <v>0</v>
      </c>
      <c r="FQ55" s="400">
        <f t="shared" si="263"/>
        <v>0</v>
      </c>
      <c r="FR55" s="363">
        <f t="shared" si="197"/>
        <v>0</v>
      </c>
      <c r="FS55" s="260" t="e">
        <f t="shared" si="198"/>
        <v>#DIV/0!</v>
      </c>
      <c r="FX55" s="351"/>
      <c r="FY55" s="351"/>
      <c r="FZ55" s="351"/>
      <c r="GA55" s="351"/>
      <c r="GB55" s="351"/>
      <c r="GC55" s="351"/>
      <c r="GD55" s="351"/>
      <c r="GE55" s="351"/>
      <c r="GF55" s="351"/>
      <c r="GG55" s="351"/>
      <c r="GH55" s="351"/>
      <c r="GJ55" s="262"/>
      <c r="HD55" s="65" t="s">
        <v>531</v>
      </c>
      <c r="HE55" s="66">
        <v>0</v>
      </c>
      <c r="HF55" s="67">
        <f t="shared" si="251"/>
        <v>0</v>
      </c>
      <c r="HG55" s="68">
        <f t="shared" si="252"/>
        <v>0</v>
      </c>
      <c r="HH55" s="69">
        <v>1</v>
      </c>
      <c r="HI55" s="367">
        <v>0</v>
      </c>
      <c r="HJ55" s="140"/>
      <c r="HM55" s="283"/>
      <c r="HN55" s="283"/>
      <c r="HO55" s="285"/>
      <c r="HP55" s="283"/>
      <c r="HQ55" s="286"/>
      <c r="HR55" s="283"/>
      <c r="HS55" s="286"/>
      <c r="HT55" s="283"/>
      <c r="HU55" s="286"/>
      <c r="HV55" s="283"/>
      <c r="HW55" s="286"/>
      <c r="HX55" s="283"/>
      <c r="HY55" s="286"/>
      <c r="HZ55" s="283"/>
      <c r="IA55" s="286"/>
      <c r="IB55" s="283"/>
      <c r="IC55" s="286"/>
      <c r="ID55" s="283"/>
      <c r="IE55" s="286"/>
      <c r="IF55" s="283"/>
      <c r="IG55" s="286"/>
      <c r="IH55" s="283"/>
      <c r="II55" s="286"/>
      <c r="IJ55" s="283"/>
      <c r="IK55" s="286"/>
      <c r="IL55" s="283"/>
      <c r="IM55" s="288"/>
    </row>
    <row r="56" spans="3:247" ht="14.4" customHeight="1" x14ac:dyDescent="0.3">
      <c r="AM56" s="295">
        <f>AN56/7</f>
        <v>0</v>
      </c>
      <c r="AN56" s="295">
        <f>AO56/4.2</f>
        <v>0</v>
      </c>
      <c r="AO56" s="295">
        <f>AP56/12</f>
        <v>0</v>
      </c>
      <c r="AP56" s="295">
        <f>(AW56*$AR$1)+AW56</f>
        <v>0</v>
      </c>
      <c r="AQ56" s="296" t="s">
        <v>769</v>
      </c>
      <c r="AR56" s="297">
        <f>(AV56*$AR$1)+AV56</f>
        <v>0</v>
      </c>
      <c r="AS56" s="298" t="e">
        <f t="shared" ref="AS56:AS99" si="267">AR56/$AR$99</f>
        <v>#DIV/0!</v>
      </c>
      <c r="AT56" s="524" t="e">
        <f>SUM(AS56:AS60)</f>
        <v>#DIV/0!</v>
      </c>
      <c r="AU56" s="524" t="s">
        <v>294</v>
      </c>
      <c r="AV56" s="299">
        <v>0</v>
      </c>
      <c r="AW56" s="300">
        <v>0</v>
      </c>
      <c r="AX56" s="301"/>
      <c r="BK56" s="522" t="s">
        <v>385</v>
      </c>
      <c r="BL56" s="522"/>
      <c r="BM56" s="522"/>
      <c r="BN56" s="273" t="str">
        <f>BN5</f>
        <v>Abril</v>
      </c>
      <c r="BO56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BP56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BQ56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BR56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BS56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BT56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BU56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BV56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BW56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BX56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BY56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BZ56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CE56" s="522" t="s">
        <v>385</v>
      </c>
      <c r="CF56" s="522"/>
      <c r="CG56" s="522"/>
      <c r="CH56" s="273" t="str">
        <f>BN56</f>
        <v>Abril</v>
      </c>
      <c r="CI56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CJ56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CK56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CL56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CM56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CN56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CO56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CP56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CQ56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CR56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CS56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CT56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CY56" s="522" t="s">
        <v>385</v>
      </c>
      <c r="CZ56" s="522"/>
      <c r="DA56" s="522"/>
      <c r="DB56" s="273" t="str">
        <f>CH56</f>
        <v>Abril</v>
      </c>
      <c r="DC56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DD56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DE56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DF56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DG56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DH56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DI56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DJ56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DK56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DL56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DM56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DN56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DS56" s="522" t="s">
        <v>385</v>
      </c>
      <c r="DT56" s="522"/>
      <c r="DU56" s="522"/>
      <c r="DV56" s="273" t="str">
        <f>DB56</f>
        <v>Abril</v>
      </c>
      <c r="DW56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DX56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DY56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DZ56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EA56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EB56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EC56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ED56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EE56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EF56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EG56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EH56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EM56" s="522" t="s">
        <v>385</v>
      </c>
      <c r="EN56" s="522"/>
      <c r="EO56" s="522"/>
      <c r="EP56" s="273" t="str">
        <f>DV56</f>
        <v>Abril</v>
      </c>
      <c r="EQ56" s="274" t="e">
        <f>IF($BN$5="Enero",$X$11,IF($BN$5="Febrero",$X$12,IF($BN$5="Marzo",$X$13,IF($BN$5="Abril",$X$14,IF($BN$5="Mayo",$X$15,IF($BN$5="Junio",$X$16,IF($BN$5="Julio",$X$17,IF($BN$5="Agosto",$X$18,IF($BN$5="Septiembre",$X$19,IF($BN$5="Octubre",$X$8,IF($BN$5="Noviembre",$X$9,IF($BN$5="Diciembre",$X$10,0))))))))))))</f>
        <v>#DIV/0!</v>
      </c>
      <c r="ER56" s="274" t="e">
        <f>IF($BN$5="Enero",$X$12,IF($BN$5="Febrero",$X$13,IF($BN$5="Marzo",$X$14,IF($BN$5="Abril",$X$15,IF($BN$5="Mayo",$X$16,IF($BN$5="Junio",$X$17,IF($BN$5="Julio",$X$18,IF($BN$5="Agosto",$X$19,IF($BN$5="Septiembre",$X$8,IF($BN$5="Octubre",$X$9,IF($BN$5="Noviembre",$X$10,IF($BN$5="Diciembre",$X$11,0))))))))))))</f>
        <v>#DIV/0!</v>
      </c>
      <c r="ES56" s="274" t="e">
        <f>IF($BN$5="Enero",$X$13,IF($BN$5="Febrero",$X$14,IF($BN$5="Marzo",$X$15,IF($BN$5="Abril",$X$16,IF($BN$5="Mayo",$X$17,IF($BN$5="Junio",$X$18,IF($BN$5="Julio",$X$19,IF($BN$5="Agosto",$X$8,IF($BN$5="Septiembre",$X$9,IF($BN$5="Octubre",$X$10,IF($BN$5="Noviembre",$X$11,IF($BN$5="Diciembre",$X$12,0))))))))))))</f>
        <v>#DIV/0!</v>
      </c>
      <c r="ET56" s="274" t="e">
        <f>IF($BN$5="Enero",$X$14,IF($BN$5="Febrero",$X$15,IF($BN$5="Marzo",$X$16,IF($BN$5="Abril",$X$17,IF($BN$5="Mayo",$X$18,IF($BN$5="Junio",$X$19,IF($BN$5="Julio",$X$8,IF($BN$5="Agosto",$X$9,IF($BN$5="Septiembre",$X$10,IF($BN$5="Octubre",$X$11,IF($BN$5="Noviembre",$X$12,IF($BN$5="Diciembre",$X$13,0))))))))))))</f>
        <v>#DIV/0!</v>
      </c>
      <c r="EU56" s="274" t="e">
        <f>IF($BN$5="Enero",$X$15,IF($BN$5="Febrero",$X$16,IF($BN$5="Marzo",$X$17,IF($BN$5="Abril",$X$18,IF($BN$5="Mayo",$X$19,IF($BN$5="Junio",$X$8,IF($BN$5="Julio",$X$9,IF($BN$5="Agosto",$X$10,IF($BN$5="Septiembre",$X$11,IF($BN$5="Octubre",$X$12,IF($BN$5="Noviembre",$X$13,IF($BN$5="Diciembre",$X$14,0))))))))))))</f>
        <v>#DIV/0!</v>
      </c>
      <c r="EV56" s="274" t="e">
        <f>IF($BN$5="Enero",$X$16,IF($BN$5="Febrero",$X$17,IF($BN$5="Marzo",$X$18,IF($BN$5="Abril",$X$19,IF($BN$5="Mayo",$X$8,IF($BN$5="Junio",$X$9,IF($BN$5="Julio",$X$10,IF($BN$5="Agosto",$X$11,IF($BN$5="Septiembre",$X$12,IF($BN$5="Octubre",$X$13,IF($BN$5="Noviembre",$X$14,IF($BN$5="Diciembre",$X$15,0))))))))))))</f>
        <v>#DIV/0!</v>
      </c>
      <c r="EW56" s="274" t="e">
        <f>IF($BN$5="Enero",$X$17,IF($BN$5="Febrero",$X$18,IF($BN$5="Marzo",$X$19,IF($BN$5="Abril",$X$8,IF($BN$5="Mayo",$X$9,IF($BN$5="Junio",$X$10,IF($BN$5="Julio",$X$11,IF($BN$5="Agosto",$X$12,IF($BN$5="Septiembre",$X$13,IF($BN$5="Octubre",$X$14,IF($BN$5="Noviembre",$X$15,IF($BN$5="Diciembre",$X$16,0))))))))))))</f>
        <v>#DIV/0!</v>
      </c>
      <c r="EX56" s="274" t="e">
        <f>IF($BN$5="Enero",$X$18,IF($BN$5="Febrero",$X$19,IF($BN$5="Marzo",$X$8,IF($BN$5="Abril",$X$9,IF($BN$5="Mayo",$X$10,IF($BN$5="Junio",$X$11,IF($BN$5="Julio",$X$12,IF($BN$5="Agosto",$X$13,IF($BN$5="Septiembre",$X$14,IF($BN$5="Octubre",$X$15,IF($BN$5="Noviembre",$X$16,IF($BN$5="Diciembre",$X$17,0))))))))))))</f>
        <v>#DIV/0!</v>
      </c>
      <c r="EY56" s="274" t="e">
        <f>IF($BN$5="Enero",$X$19,IF($BN$5="Febrero",$X$8,IF($BN$5="Marzo",$X$9,IF($BN$5="Abril",$X$10,IF($BN$5="Mayo",$X$11,IF($BN$5="Junio",$X$12,IF($BN$5="Julio",$X$13,IF($BN$5="Agosto",$X$14,IF($BN$5="Septiembre",$X$15,IF($BN$5="Octubre",$X$16,IF($BN$5="Noviembre",$X$17,IF($BN$5="Diciembre",$X$18,0))))))))))))</f>
        <v>#DIV/0!</v>
      </c>
      <c r="EZ56" s="274" t="e">
        <f>IF($BN$5="Enero",$X$8,IF($BN$5="Febrero",$X$9,IF($BN$5="Marzo",$X$10,IF($BN$5="Abril",$X$11,IF($BN$5="Mayo",$X$12,IF($BN$5="Junio",$X$13,IF($BN$5="Julio",$X$14,IF($BN$5="Agosto",$X$15,IF($BN$5="Septiembre",$X$16,IF($BN$5="Octubre",$X$17,IF($BN$5="Noviembre",$X$18,IF($BN$5="Diciembre",$X$19,0))))))))))))</f>
        <v>#DIV/0!</v>
      </c>
      <c r="FA56" s="274" t="e">
        <f>IF($BN$5="Enero",$X$9,IF($BN$5="Febrero",$X$10,IF($BN$5="Marzo",$X$11,IF($BN$5="Abril",$X$12,IF($BN$5="Mayo",$X$13,IF($BN$5="Junio",$X$14,IF($BN$5="Julio",$X$15,IF($BN$5="Agosto",$X$16,IF($BN$5="Septiembre",$X$17,IF($BN$5="Octubre",$X$18,IF($BN$5="Noviembre",$X$19,IF($BN$5="Diciembre",$X$8,0))))))))))))</f>
        <v>#DIV/0!</v>
      </c>
      <c r="FB56" s="274" t="e">
        <f>IF($BN$5="Enero",$X$10,IF($BN$5="Febrero",$X$11,IF($BN$5="Marzo",$X$12,IF($BN$5="Abril",$X$13,IF($BN$5="Mayo",$X$14,IF($BN$5="Junio",$X$15,IF($BN$5="Julio",$X$16,IF($BN$5="Agosto",$X$17,IF($BN$5="Septiembre",$X$18,IF($BN$5="Octubre",$X$19,IF($BN$5="Noviembre",$X$8,IF($BN$5="Diciembre",$X$9,0))))))))))))</f>
        <v>#DIV/0!</v>
      </c>
      <c r="FD56" s="397" t="s">
        <v>69</v>
      </c>
      <c r="FE56" s="357" t="s">
        <v>66</v>
      </c>
      <c r="FF56" s="325">
        <f>SUM(FF57:FF62)</f>
        <v>0</v>
      </c>
      <c r="FG56" s="325">
        <f t="shared" ref="FG56:FQ56" si="268">SUM(FG57:FG62)</f>
        <v>0</v>
      </c>
      <c r="FH56" s="325">
        <f t="shared" si="268"/>
        <v>0</v>
      </c>
      <c r="FI56" s="325">
        <f t="shared" si="268"/>
        <v>0</v>
      </c>
      <c r="FJ56" s="325">
        <f t="shared" si="268"/>
        <v>0</v>
      </c>
      <c r="FK56" s="325">
        <f t="shared" si="268"/>
        <v>0</v>
      </c>
      <c r="FL56" s="325">
        <f t="shared" si="268"/>
        <v>0</v>
      </c>
      <c r="FM56" s="325">
        <f t="shared" si="268"/>
        <v>0</v>
      </c>
      <c r="FN56" s="325">
        <f t="shared" si="268"/>
        <v>0</v>
      </c>
      <c r="FO56" s="325">
        <f t="shared" si="268"/>
        <v>0</v>
      </c>
      <c r="FP56" s="325">
        <f t="shared" si="268"/>
        <v>0</v>
      </c>
      <c r="FQ56" s="325">
        <f t="shared" si="268"/>
        <v>0</v>
      </c>
      <c r="FR56" s="309">
        <f t="shared" si="197"/>
        <v>0</v>
      </c>
      <c r="FS56" s="260" t="e">
        <f t="shared" si="198"/>
        <v>#DIV/0!</v>
      </c>
      <c r="FV56" s="357" t="s">
        <v>440</v>
      </c>
      <c r="FW56" s="366" t="e">
        <f>MAX(FW39*1%,(FW52-FW54)*30%)</f>
        <v>#DIV/0!</v>
      </c>
      <c r="FX56" s="366" t="e">
        <f t="shared" ref="FX56:GH56" si="269">MAX(FX39*1%,(FX52-FX54)*30%)</f>
        <v>#DIV/0!</v>
      </c>
      <c r="FY56" s="366" t="e">
        <f t="shared" si="269"/>
        <v>#DIV/0!</v>
      </c>
      <c r="FZ56" s="366" t="e">
        <f t="shared" si="269"/>
        <v>#DIV/0!</v>
      </c>
      <c r="GA56" s="366" t="e">
        <f t="shared" si="269"/>
        <v>#DIV/0!</v>
      </c>
      <c r="GB56" s="366" t="e">
        <f t="shared" si="269"/>
        <v>#DIV/0!</v>
      </c>
      <c r="GC56" s="366" t="e">
        <f t="shared" si="269"/>
        <v>#DIV/0!</v>
      </c>
      <c r="GD56" s="366" t="e">
        <f t="shared" si="269"/>
        <v>#DIV/0!</v>
      </c>
      <c r="GE56" s="366" t="e">
        <f t="shared" si="269"/>
        <v>#DIV/0!</v>
      </c>
      <c r="GF56" s="366" t="e">
        <f t="shared" si="269"/>
        <v>#DIV/0!</v>
      </c>
      <c r="GG56" s="366" t="e">
        <f t="shared" si="269"/>
        <v>#DIV/0!</v>
      </c>
      <c r="GH56" s="366" t="e">
        <f t="shared" si="269"/>
        <v>#DIV/0!</v>
      </c>
      <c r="GI56" s="309" t="e">
        <f>SUM(FW56:GH56)</f>
        <v>#DIV/0!</v>
      </c>
      <c r="GJ56" s="262" t="e">
        <f>GI56/$GI$6</f>
        <v>#DIV/0!</v>
      </c>
      <c r="HD56" s="65" t="s">
        <v>532</v>
      </c>
      <c r="HE56" s="66">
        <v>0</v>
      </c>
      <c r="HF56" s="67">
        <f t="shared" si="251"/>
        <v>0</v>
      </c>
      <c r="HG56" s="68">
        <f t="shared" si="252"/>
        <v>0</v>
      </c>
      <c r="HH56" s="69">
        <v>1</v>
      </c>
      <c r="HI56" s="367">
        <v>0</v>
      </c>
      <c r="HJ56" s="140"/>
      <c r="HM56" s="283"/>
      <c r="HN56" s="432">
        <v>44927</v>
      </c>
      <c r="HO56" s="285"/>
      <c r="HP56" s="283"/>
      <c r="HQ56" s="286"/>
      <c r="HR56" s="283"/>
      <c r="HS56" s="286"/>
      <c r="HT56" s="283"/>
      <c r="HU56" s="286"/>
      <c r="HV56" s="283"/>
      <c r="HW56" s="286"/>
      <c r="HX56" s="283"/>
      <c r="HY56" s="286"/>
      <c r="HZ56" s="283"/>
      <c r="IA56" s="286"/>
      <c r="IB56" s="283"/>
      <c r="IC56" s="286"/>
      <c r="ID56" s="283"/>
      <c r="IE56" s="286"/>
      <c r="IF56" s="283"/>
      <c r="IG56" s="286"/>
      <c r="IH56" s="283"/>
      <c r="II56" s="286"/>
      <c r="IJ56" s="283"/>
      <c r="IK56" s="286"/>
      <c r="IL56" s="283"/>
      <c r="IM56" s="288"/>
    </row>
    <row r="57" spans="3:247" ht="14.4" customHeight="1" x14ac:dyDescent="0.3">
      <c r="AM57" s="295">
        <f t="shared" ref="AM57:AM98" si="270">AN57/7</f>
        <v>0</v>
      </c>
      <c r="AN57" s="295">
        <f t="shared" ref="AN57:AN98" si="271">AO57/4.2</f>
        <v>0</v>
      </c>
      <c r="AO57" s="295">
        <f t="shared" ref="AO57:AO98" si="272">AP57/12</f>
        <v>0</v>
      </c>
      <c r="AP57" s="295">
        <f t="shared" ref="AP57:AP98" si="273">(AW57*$AR$1)+AW57</f>
        <v>0</v>
      </c>
      <c r="AQ57" s="296" t="s">
        <v>770</v>
      </c>
      <c r="AR57" s="297">
        <f t="shared" ref="AR57:AR98" si="274">(AV57*$AR$1)+AV57</f>
        <v>0</v>
      </c>
      <c r="AS57" s="298" t="e">
        <f t="shared" si="267"/>
        <v>#DIV/0!</v>
      </c>
      <c r="AT57" s="524"/>
      <c r="AU57" s="524"/>
      <c r="AV57" s="299">
        <v>0</v>
      </c>
      <c r="AW57" s="300">
        <v>0</v>
      </c>
      <c r="AX57" s="301"/>
      <c r="BK57" s="306" t="s">
        <v>389</v>
      </c>
      <c r="BL57" s="306" t="s">
        <v>390</v>
      </c>
      <c r="BM57" s="306" t="s">
        <v>391</v>
      </c>
      <c r="BN57" s="306" t="s">
        <v>392</v>
      </c>
      <c r="BO57" s="306" t="s">
        <v>393</v>
      </c>
      <c r="BP57" s="306" t="s">
        <v>394</v>
      </c>
      <c r="BQ57" s="306" t="s">
        <v>395</v>
      </c>
      <c r="BR57" s="306" t="s">
        <v>396</v>
      </c>
      <c r="BS57" s="306" t="s">
        <v>397</v>
      </c>
      <c r="BT57" s="306" t="s">
        <v>398</v>
      </c>
      <c r="BU57" s="306" t="s">
        <v>399</v>
      </c>
      <c r="BV57" s="306" t="s">
        <v>400</v>
      </c>
      <c r="BW57" s="306" t="s">
        <v>401</v>
      </c>
      <c r="BX57" s="306" t="s">
        <v>402</v>
      </c>
      <c r="BY57" s="306" t="s">
        <v>403</v>
      </c>
      <c r="BZ57" s="306" t="s">
        <v>404</v>
      </c>
      <c r="CE57" s="306" t="s">
        <v>389</v>
      </c>
      <c r="CF57" s="306" t="s">
        <v>390</v>
      </c>
      <c r="CG57" s="306" t="s">
        <v>391</v>
      </c>
      <c r="CH57" s="306" t="s">
        <v>392</v>
      </c>
      <c r="CI57" s="306" t="s">
        <v>393</v>
      </c>
      <c r="CJ57" s="306" t="s">
        <v>394</v>
      </c>
      <c r="CK57" s="306" t="s">
        <v>395</v>
      </c>
      <c r="CL57" s="306" t="s">
        <v>396</v>
      </c>
      <c r="CM57" s="306" t="s">
        <v>397</v>
      </c>
      <c r="CN57" s="306" t="s">
        <v>398</v>
      </c>
      <c r="CO57" s="306" t="s">
        <v>399</v>
      </c>
      <c r="CP57" s="306" t="s">
        <v>400</v>
      </c>
      <c r="CQ57" s="306" t="s">
        <v>401</v>
      </c>
      <c r="CR57" s="306" t="s">
        <v>402</v>
      </c>
      <c r="CS57" s="306" t="s">
        <v>403</v>
      </c>
      <c r="CT57" s="306" t="s">
        <v>404</v>
      </c>
      <c r="CY57" s="306" t="s">
        <v>389</v>
      </c>
      <c r="CZ57" s="306" t="s">
        <v>390</v>
      </c>
      <c r="DA57" s="306" t="s">
        <v>391</v>
      </c>
      <c r="DB57" s="306" t="s">
        <v>392</v>
      </c>
      <c r="DC57" s="306" t="s">
        <v>393</v>
      </c>
      <c r="DD57" s="306" t="s">
        <v>394</v>
      </c>
      <c r="DE57" s="306" t="s">
        <v>395</v>
      </c>
      <c r="DF57" s="306" t="s">
        <v>396</v>
      </c>
      <c r="DG57" s="306" t="s">
        <v>397</v>
      </c>
      <c r="DH57" s="306" t="s">
        <v>398</v>
      </c>
      <c r="DI57" s="306" t="s">
        <v>399</v>
      </c>
      <c r="DJ57" s="306" t="s">
        <v>400</v>
      </c>
      <c r="DK57" s="306" t="s">
        <v>401</v>
      </c>
      <c r="DL57" s="306" t="s">
        <v>402</v>
      </c>
      <c r="DM57" s="306" t="s">
        <v>403</v>
      </c>
      <c r="DN57" s="306" t="s">
        <v>404</v>
      </c>
      <c r="DS57" s="306" t="s">
        <v>389</v>
      </c>
      <c r="DT57" s="306" t="s">
        <v>390</v>
      </c>
      <c r="DU57" s="306" t="s">
        <v>391</v>
      </c>
      <c r="DV57" s="306" t="s">
        <v>392</v>
      </c>
      <c r="DW57" s="306" t="s">
        <v>393</v>
      </c>
      <c r="DX57" s="306" t="s">
        <v>394</v>
      </c>
      <c r="DY57" s="306" t="s">
        <v>395</v>
      </c>
      <c r="DZ57" s="306" t="s">
        <v>396</v>
      </c>
      <c r="EA57" s="306" t="s">
        <v>397</v>
      </c>
      <c r="EB57" s="306" t="s">
        <v>398</v>
      </c>
      <c r="EC57" s="306" t="s">
        <v>399</v>
      </c>
      <c r="ED57" s="306" t="s">
        <v>400</v>
      </c>
      <c r="EE57" s="306" t="s">
        <v>401</v>
      </c>
      <c r="EF57" s="306" t="s">
        <v>402</v>
      </c>
      <c r="EG57" s="306" t="s">
        <v>403</v>
      </c>
      <c r="EH57" s="306" t="s">
        <v>404</v>
      </c>
      <c r="EM57" s="306" t="s">
        <v>389</v>
      </c>
      <c r="EN57" s="306" t="s">
        <v>390</v>
      </c>
      <c r="EO57" s="306" t="s">
        <v>391</v>
      </c>
      <c r="EP57" s="306" t="s">
        <v>392</v>
      </c>
      <c r="EQ57" s="306" t="s">
        <v>393</v>
      </c>
      <c r="ER57" s="306" t="s">
        <v>394</v>
      </c>
      <c r="ES57" s="306" t="s">
        <v>395</v>
      </c>
      <c r="ET57" s="306" t="s">
        <v>396</v>
      </c>
      <c r="EU57" s="306" t="s">
        <v>397</v>
      </c>
      <c r="EV57" s="306" t="s">
        <v>398</v>
      </c>
      <c r="EW57" s="306" t="s">
        <v>399</v>
      </c>
      <c r="EX57" s="306" t="s">
        <v>400</v>
      </c>
      <c r="EY57" s="306" t="s">
        <v>401</v>
      </c>
      <c r="EZ57" s="306" t="s">
        <v>402</v>
      </c>
      <c r="FA57" s="306" t="s">
        <v>403</v>
      </c>
      <c r="FB57" s="306" t="s">
        <v>404</v>
      </c>
      <c r="FD57" s="397" t="s">
        <v>71</v>
      </c>
      <c r="FE57" s="399" t="s">
        <v>68</v>
      </c>
      <c r="FF57" s="400">
        <f t="shared" ref="FF57:FQ62" si="275">+FF232/FF$376</f>
        <v>0</v>
      </c>
      <c r="FG57" s="400">
        <f t="shared" si="275"/>
        <v>0</v>
      </c>
      <c r="FH57" s="400">
        <f t="shared" si="275"/>
        <v>0</v>
      </c>
      <c r="FI57" s="400">
        <f t="shared" si="275"/>
        <v>0</v>
      </c>
      <c r="FJ57" s="400">
        <f t="shared" si="275"/>
        <v>0</v>
      </c>
      <c r="FK57" s="400">
        <f t="shared" si="275"/>
        <v>0</v>
      </c>
      <c r="FL57" s="400">
        <f t="shared" si="275"/>
        <v>0</v>
      </c>
      <c r="FM57" s="400">
        <f t="shared" si="275"/>
        <v>0</v>
      </c>
      <c r="FN57" s="400">
        <f t="shared" si="275"/>
        <v>0</v>
      </c>
      <c r="FO57" s="400">
        <f t="shared" si="275"/>
        <v>0</v>
      </c>
      <c r="FP57" s="400">
        <f t="shared" si="275"/>
        <v>0</v>
      </c>
      <c r="FQ57" s="400">
        <f t="shared" si="275"/>
        <v>0</v>
      </c>
      <c r="FR57" s="363">
        <f t="shared" si="197"/>
        <v>0</v>
      </c>
      <c r="FS57" s="260" t="e">
        <f t="shared" si="198"/>
        <v>#DIV/0!</v>
      </c>
      <c r="FV57" s="362"/>
      <c r="FW57" s="362"/>
      <c r="FX57" s="362"/>
      <c r="FY57" s="362"/>
      <c r="FZ57" s="362"/>
      <c r="GA57" s="362"/>
      <c r="GB57" s="362"/>
      <c r="GC57" s="362"/>
      <c r="GD57" s="362"/>
      <c r="GE57" s="362"/>
      <c r="GF57" s="362"/>
      <c r="GG57" s="362"/>
      <c r="GH57" s="362"/>
      <c r="GI57" s="362"/>
      <c r="GJ57" s="387"/>
      <c r="HD57" s="65" t="s">
        <v>533</v>
      </c>
      <c r="HE57" s="66">
        <v>0</v>
      </c>
      <c r="HF57" s="67">
        <f t="shared" si="251"/>
        <v>0</v>
      </c>
      <c r="HG57" s="68">
        <f t="shared" si="252"/>
        <v>0</v>
      </c>
      <c r="HH57" s="69">
        <v>1</v>
      </c>
      <c r="HI57" s="367">
        <v>0</v>
      </c>
      <c r="HJ57" s="140"/>
      <c r="HM57" s="283"/>
      <c r="HN57" s="432">
        <v>44958</v>
      </c>
      <c r="HO57" s="285"/>
      <c r="HP57" s="283"/>
      <c r="HQ57" s="286"/>
      <c r="HR57" s="283"/>
      <c r="HS57" s="286"/>
      <c r="HT57" s="283"/>
      <c r="HU57" s="286"/>
      <c r="HV57" s="283"/>
      <c r="HW57" s="286"/>
      <c r="HX57" s="283"/>
      <c r="HY57" s="286"/>
      <c r="HZ57" s="283"/>
      <c r="IA57" s="286"/>
      <c r="IB57" s="283"/>
      <c r="IC57" s="286"/>
      <c r="ID57" s="283"/>
      <c r="IE57" s="286"/>
      <c r="IF57" s="283"/>
      <c r="IG57" s="286"/>
      <c r="IH57" s="283"/>
      <c r="II57" s="286"/>
      <c r="IJ57" s="283"/>
      <c r="IK57" s="286"/>
      <c r="IL57" s="283"/>
      <c r="IM57" s="288"/>
    </row>
    <row r="58" spans="3:247" ht="14.4" customHeight="1" x14ac:dyDescent="0.3">
      <c r="AM58" s="295">
        <f t="shared" si="270"/>
        <v>0</v>
      </c>
      <c r="AN58" s="295">
        <f t="shared" si="271"/>
        <v>0</v>
      </c>
      <c r="AO58" s="295">
        <f t="shared" si="272"/>
        <v>0</v>
      </c>
      <c r="AP58" s="295">
        <f t="shared" si="273"/>
        <v>0</v>
      </c>
      <c r="AQ58" s="296" t="s">
        <v>771</v>
      </c>
      <c r="AR58" s="297">
        <f t="shared" si="274"/>
        <v>0</v>
      </c>
      <c r="AS58" s="298" t="e">
        <f t="shared" si="267"/>
        <v>#DIV/0!</v>
      </c>
      <c r="AT58" s="524"/>
      <c r="AU58" s="524"/>
      <c r="AV58" s="299">
        <v>0</v>
      </c>
      <c r="AW58" s="300">
        <v>0</v>
      </c>
      <c r="AX58" s="301"/>
      <c r="BK58" s="306" t="s">
        <v>291</v>
      </c>
      <c r="BL58" s="306" t="s">
        <v>383</v>
      </c>
      <c r="BM58" s="306" t="s">
        <v>384</v>
      </c>
      <c r="BN58" s="306" t="s">
        <v>378</v>
      </c>
      <c r="BO58" s="306" t="str">
        <f>$BN$5</f>
        <v>Abril</v>
      </c>
      <c r="BP58" s="306" t="str">
        <f>$W$9</f>
        <v>Mayo</v>
      </c>
      <c r="BQ58" s="306" t="str">
        <f>$W$10</f>
        <v>Junio</v>
      </c>
      <c r="BR58" s="306" t="str">
        <f>$W$11</f>
        <v>Julio</v>
      </c>
      <c r="BS58" s="306" t="str">
        <f>$W$12</f>
        <v>Agosto</v>
      </c>
      <c r="BT58" s="306" t="str">
        <f>$W$13</f>
        <v>Septiembre</v>
      </c>
      <c r="BU58" s="306" t="str">
        <f>$W$14</f>
        <v>Octubre</v>
      </c>
      <c r="BV58" s="306" t="str">
        <f>$W$15</f>
        <v>Noviembre</v>
      </c>
      <c r="BW58" s="306" t="str">
        <f>$W$16</f>
        <v>Diciembre</v>
      </c>
      <c r="BX58" s="306" t="str">
        <f>$W$17</f>
        <v>Enero</v>
      </c>
      <c r="BY58" s="306" t="str">
        <f>$W$18</f>
        <v>Febrero</v>
      </c>
      <c r="BZ58" s="306" t="str">
        <f>$W$19</f>
        <v>Marzo</v>
      </c>
      <c r="CE58" s="306" t="s">
        <v>291</v>
      </c>
      <c r="CF58" s="306" t="s">
        <v>383</v>
      </c>
      <c r="CG58" s="306" t="s">
        <v>384</v>
      </c>
      <c r="CH58" s="306" t="s">
        <v>422</v>
      </c>
      <c r="CI58" s="306" t="str">
        <f>$BN$5</f>
        <v>Abril</v>
      </c>
      <c r="CJ58" s="306" t="str">
        <f>$W$9</f>
        <v>Mayo</v>
      </c>
      <c r="CK58" s="306" t="str">
        <f>$W$10</f>
        <v>Junio</v>
      </c>
      <c r="CL58" s="306" t="str">
        <f>$W$11</f>
        <v>Julio</v>
      </c>
      <c r="CM58" s="306" t="str">
        <f>$W$12</f>
        <v>Agosto</v>
      </c>
      <c r="CN58" s="306" t="str">
        <f>$W$13</f>
        <v>Septiembre</v>
      </c>
      <c r="CO58" s="306" t="str">
        <f>$W$14</f>
        <v>Octubre</v>
      </c>
      <c r="CP58" s="306" t="str">
        <f>$W$15</f>
        <v>Noviembre</v>
      </c>
      <c r="CQ58" s="306" t="str">
        <f>$W$16</f>
        <v>Diciembre</v>
      </c>
      <c r="CR58" s="306" t="str">
        <f>$W$17</f>
        <v>Enero</v>
      </c>
      <c r="CS58" s="306" t="str">
        <f>$W$18</f>
        <v>Febrero</v>
      </c>
      <c r="CT58" s="306" t="str">
        <f>$W$19</f>
        <v>Marzo</v>
      </c>
      <c r="CY58" s="306" t="s">
        <v>291</v>
      </c>
      <c r="CZ58" s="306" t="s">
        <v>383</v>
      </c>
      <c r="DA58" s="306" t="s">
        <v>384</v>
      </c>
      <c r="DB58" s="306" t="s">
        <v>422</v>
      </c>
      <c r="DC58" s="306" t="str">
        <f>$BN$5</f>
        <v>Abril</v>
      </c>
      <c r="DD58" s="306" t="str">
        <f>$W$9</f>
        <v>Mayo</v>
      </c>
      <c r="DE58" s="306" t="str">
        <f>$W$10</f>
        <v>Junio</v>
      </c>
      <c r="DF58" s="306" t="str">
        <f>$W$11</f>
        <v>Julio</v>
      </c>
      <c r="DG58" s="306" t="str">
        <f>$W$12</f>
        <v>Agosto</v>
      </c>
      <c r="DH58" s="306" t="str">
        <f>$W$13</f>
        <v>Septiembre</v>
      </c>
      <c r="DI58" s="306" t="str">
        <f>$W$14</f>
        <v>Octubre</v>
      </c>
      <c r="DJ58" s="306" t="str">
        <f>$W$15</f>
        <v>Noviembre</v>
      </c>
      <c r="DK58" s="306" t="str">
        <f>$W$16</f>
        <v>Diciembre</v>
      </c>
      <c r="DL58" s="306" t="str">
        <f>$W$17</f>
        <v>Enero</v>
      </c>
      <c r="DM58" s="306" t="str">
        <f>$W$18</f>
        <v>Febrero</v>
      </c>
      <c r="DN58" s="306" t="str">
        <f>$W$19</f>
        <v>Marzo</v>
      </c>
      <c r="DS58" s="306" t="s">
        <v>291</v>
      </c>
      <c r="DT58" s="306" t="s">
        <v>383</v>
      </c>
      <c r="DU58" s="306" t="s">
        <v>384</v>
      </c>
      <c r="DV58" s="306" t="s">
        <v>422</v>
      </c>
      <c r="DW58" s="306" t="str">
        <f>$BN$5</f>
        <v>Abril</v>
      </c>
      <c r="DX58" s="306" t="str">
        <f>$W$9</f>
        <v>Mayo</v>
      </c>
      <c r="DY58" s="306" t="str">
        <f>$W$10</f>
        <v>Junio</v>
      </c>
      <c r="DZ58" s="306" t="str">
        <f>$W$11</f>
        <v>Julio</v>
      </c>
      <c r="EA58" s="306" t="str">
        <f>$W$12</f>
        <v>Agosto</v>
      </c>
      <c r="EB58" s="306" t="str">
        <f>$W$13</f>
        <v>Septiembre</v>
      </c>
      <c r="EC58" s="306" t="str">
        <f>$W$14</f>
        <v>Octubre</v>
      </c>
      <c r="ED58" s="306" t="str">
        <f>$W$15</f>
        <v>Noviembre</v>
      </c>
      <c r="EE58" s="306" t="str">
        <f>$W$16</f>
        <v>Diciembre</v>
      </c>
      <c r="EF58" s="306" t="str">
        <f>$W$17</f>
        <v>Enero</v>
      </c>
      <c r="EG58" s="306" t="str">
        <f>$W$18</f>
        <v>Febrero</v>
      </c>
      <c r="EH58" s="306" t="str">
        <f>$W$19</f>
        <v>Marzo</v>
      </c>
      <c r="EM58" s="306" t="s">
        <v>291</v>
      </c>
      <c r="EN58" s="306" t="s">
        <v>383</v>
      </c>
      <c r="EO58" s="306" t="s">
        <v>384</v>
      </c>
      <c r="EP58" s="306" t="s">
        <v>422</v>
      </c>
      <c r="EQ58" s="306" t="str">
        <f>$BN$5</f>
        <v>Abril</v>
      </c>
      <c r="ER58" s="306" t="str">
        <f>$W$9</f>
        <v>Mayo</v>
      </c>
      <c r="ES58" s="306" t="str">
        <f>$W$10</f>
        <v>Junio</v>
      </c>
      <c r="ET58" s="306" t="str">
        <f>$W$11</f>
        <v>Julio</v>
      </c>
      <c r="EU58" s="306" t="str">
        <f>$W$12</f>
        <v>Agosto</v>
      </c>
      <c r="EV58" s="306" t="str">
        <f>$W$13</f>
        <v>Septiembre</v>
      </c>
      <c r="EW58" s="306" t="str">
        <f>$W$14</f>
        <v>Octubre</v>
      </c>
      <c r="EX58" s="306" t="str">
        <f>$W$15</f>
        <v>Noviembre</v>
      </c>
      <c r="EY58" s="306" t="str">
        <f>$W$16</f>
        <v>Diciembre</v>
      </c>
      <c r="EZ58" s="306" t="str">
        <f>$W$17</f>
        <v>Enero</v>
      </c>
      <c r="FA58" s="306" t="str">
        <f>$W$18</f>
        <v>Febrero</v>
      </c>
      <c r="FB58" s="306" t="str">
        <f>$W$19</f>
        <v>Marzo</v>
      </c>
      <c r="FD58" s="397" t="s">
        <v>73</v>
      </c>
      <c r="FE58" s="399" t="s">
        <v>70</v>
      </c>
      <c r="FF58" s="400">
        <f t="shared" si="275"/>
        <v>0</v>
      </c>
      <c r="FG58" s="400">
        <f t="shared" si="275"/>
        <v>0</v>
      </c>
      <c r="FH58" s="400">
        <f t="shared" si="275"/>
        <v>0</v>
      </c>
      <c r="FI58" s="400">
        <f t="shared" si="275"/>
        <v>0</v>
      </c>
      <c r="FJ58" s="400">
        <f t="shared" si="275"/>
        <v>0</v>
      </c>
      <c r="FK58" s="400">
        <f t="shared" si="275"/>
        <v>0</v>
      </c>
      <c r="FL58" s="400">
        <f t="shared" si="275"/>
        <v>0</v>
      </c>
      <c r="FM58" s="400">
        <f t="shared" si="275"/>
        <v>0</v>
      </c>
      <c r="FN58" s="400">
        <f t="shared" si="275"/>
        <v>0</v>
      </c>
      <c r="FO58" s="400">
        <f t="shared" si="275"/>
        <v>0</v>
      </c>
      <c r="FP58" s="400">
        <f t="shared" si="275"/>
        <v>0</v>
      </c>
      <c r="FQ58" s="400">
        <f t="shared" si="275"/>
        <v>0</v>
      </c>
      <c r="FR58" s="363">
        <f t="shared" si="197"/>
        <v>0</v>
      </c>
      <c r="FS58" s="260" t="e">
        <f t="shared" si="198"/>
        <v>#DIV/0!</v>
      </c>
      <c r="FV58" s="357" t="s">
        <v>441</v>
      </c>
      <c r="FW58" s="358" t="e">
        <f>FW52-FW54-FW56</f>
        <v>#DIV/0!</v>
      </c>
      <c r="FX58" s="358" t="e">
        <f t="shared" ref="FX58:GH58" si="276">FX52-FX54-FX56</f>
        <v>#DIV/0!</v>
      </c>
      <c r="FY58" s="358" t="e">
        <f t="shared" si="276"/>
        <v>#DIV/0!</v>
      </c>
      <c r="FZ58" s="358" t="e">
        <f t="shared" si="276"/>
        <v>#DIV/0!</v>
      </c>
      <c r="GA58" s="358" t="e">
        <f t="shared" si="276"/>
        <v>#DIV/0!</v>
      </c>
      <c r="GB58" s="358" t="e">
        <f t="shared" si="276"/>
        <v>#DIV/0!</v>
      </c>
      <c r="GC58" s="358" t="e">
        <f t="shared" si="276"/>
        <v>#DIV/0!</v>
      </c>
      <c r="GD58" s="358" t="e">
        <f t="shared" si="276"/>
        <v>#DIV/0!</v>
      </c>
      <c r="GE58" s="358" t="e">
        <f t="shared" si="276"/>
        <v>#DIV/0!</v>
      </c>
      <c r="GF58" s="358" t="e">
        <f t="shared" si="276"/>
        <v>#DIV/0!</v>
      </c>
      <c r="GG58" s="358" t="e">
        <f t="shared" si="276"/>
        <v>#DIV/0!</v>
      </c>
      <c r="GH58" s="358" t="e">
        <f t="shared" si="276"/>
        <v>#DIV/0!</v>
      </c>
      <c r="GI58" s="309" t="e">
        <f>SUM(FW58:GH58)</f>
        <v>#DIV/0!</v>
      </c>
      <c r="GJ58" s="262" t="e">
        <f>GI58/$GI$6</f>
        <v>#DIV/0!</v>
      </c>
      <c r="HD58" s="65" t="s">
        <v>534</v>
      </c>
      <c r="HE58" s="66">
        <v>0</v>
      </c>
      <c r="HF58" s="67">
        <f t="shared" si="251"/>
        <v>0</v>
      </c>
      <c r="HG58" s="68">
        <f t="shared" si="252"/>
        <v>0</v>
      </c>
      <c r="HH58" s="69">
        <v>1</v>
      </c>
      <c r="HI58" s="367">
        <v>0</v>
      </c>
      <c r="HJ58" s="140"/>
      <c r="HM58" s="283"/>
      <c r="HN58" s="432">
        <v>44986</v>
      </c>
      <c r="HO58" s="285"/>
      <c r="HP58" s="283"/>
      <c r="HQ58" s="286"/>
      <c r="HR58" s="283"/>
      <c r="HS58" s="286"/>
      <c r="HT58" s="283"/>
      <c r="HU58" s="286"/>
      <c r="HV58" s="283"/>
      <c r="HW58" s="286"/>
      <c r="HX58" s="283"/>
      <c r="HY58" s="286"/>
      <c r="HZ58" s="283"/>
      <c r="IA58" s="286"/>
      <c r="IB58" s="283"/>
      <c r="IC58" s="286"/>
      <c r="ID58" s="283"/>
      <c r="IE58" s="286"/>
      <c r="IF58" s="283"/>
      <c r="IG58" s="286"/>
      <c r="IH58" s="283"/>
      <c r="II58" s="286"/>
      <c r="IJ58" s="283"/>
      <c r="IK58" s="286"/>
      <c r="IL58" s="283"/>
      <c r="IM58" s="288"/>
    </row>
    <row r="59" spans="3:247" ht="14.4" customHeight="1" x14ac:dyDescent="0.3">
      <c r="AM59" s="295">
        <f t="shared" si="270"/>
        <v>0</v>
      </c>
      <c r="AN59" s="295">
        <f t="shared" si="271"/>
        <v>0</v>
      </c>
      <c r="AO59" s="295">
        <f t="shared" si="272"/>
        <v>0</v>
      </c>
      <c r="AP59" s="295">
        <f t="shared" si="273"/>
        <v>0</v>
      </c>
      <c r="AQ59" s="296" t="s">
        <v>772</v>
      </c>
      <c r="AR59" s="297">
        <f t="shared" si="274"/>
        <v>0</v>
      </c>
      <c r="AS59" s="298" t="e">
        <f t="shared" si="267"/>
        <v>#DIV/0!</v>
      </c>
      <c r="AT59" s="524"/>
      <c r="AU59" s="524"/>
      <c r="AV59" s="299">
        <v>0</v>
      </c>
      <c r="AW59" s="300">
        <v>0</v>
      </c>
      <c r="AX59" s="301"/>
      <c r="BH59" s="524" t="s">
        <v>294</v>
      </c>
      <c r="BI59" s="524" t="e">
        <f>SUM(BJ59:BJ63)</f>
        <v>#DIV/0!</v>
      </c>
      <c r="BJ59" s="298" t="e">
        <f>$AS$56</f>
        <v>#DIV/0!</v>
      </c>
      <c r="BK59" s="242" t="str">
        <f t="shared" ref="BK59:BK101" si="277">AQ56</f>
        <v>C1</v>
      </c>
      <c r="BL59" s="433">
        <f>Tabla24[[#This Row],[Columna3]]/7</f>
        <v>0</v>
      </c>
      <c r="BM59" s="433">
        <f>Tabla24[[#This Row],[Columna4]]/4.2</f>
        <v>0</v>
      </c>
      <c r="BN59" s="433">
        <f t="shared" ref="BN59:BN101" si="278">(AR56/$AR$52)/12</f>
        <v>0</v>
      </c>
      <c r="BO59" s="433">
        <f t="shared" ref="BO59:BO101" si="279">$BN59*$AD$8</f>
        <v>0</v>
      </c>
      <c r="BP59" s="433">
        <f t="shared" ref="BP59:BP101" si="280">$BN59*$AD$9</f>
        <v>0</v>
      </c>
      <c r="BQ59" s="433">
        <f t="shared" ref="BQ59:BQ101" si="281">$BN59*$AD$10</f>
        <v>0</v>
      </c>
      <c r="BR59" s="433">
        <f t="shared" ref="BR59:BR101" si="282">$BN59*$AD$11</f>
        <v>0</v>
      </c>
      <c r="BS59" s="433">
        <f t="shared" ref="BS59:BS101" si="283">$BN59*$AD$12</f>
        <v>0</v>
      </c>
      <c r="BT59" s="433">
        <f t="shared" ref="BT59:BT101" si="284">$BN59*$AD$13</f>
        <v>0</v>
      </c>
      <c r="BU59" s="433">
        <f t="shared" ref="BU59:BU101" si="285">$BN59*$AD$14</f>
        <v>0</v>
      </c>
      <c r="BV59" s="433">
        <f t="shared" ref="BV59:BV101" si="286">$BN59*$AD$15</f>
        <v>0</v>
      </c>
      <c r="BW59" s="433">
        <f t="shared" ref="BW59:BW101" si="287">$BN59*$AD$16</f>
        <v>0</v>
      </c>
      <c r="BX59" s="433">
        <f t="shared" ref="BX59:BX101" si="288">$BN59*$AD$17</f>
        <v>0</v>
      </c>
      <c r="BY59" s="433">
        <f t="shared" ref="BY59:BY101" si="289">$BN59*$AD$18</f>
        <v>0</v>
      </c>
      <c r="BZ59" s="433">
        <f t="shared" ref="BZ59:BZ101" si="290">$BN59*$AD$19</f>
        <v>0</v>
      </c>
      <c r="CB59" s="524" t="s">
        <v>294</v>
      </c>
      <c r="CC59" s="524" t="e">
        <f>SUM(CD59:CD63)</f>
        <v>#DIV/0!</v>
      </c>
      <c r="CD59" s="298" t="e">
        <f>$AS$56</f>
        <v>#DIV/0!</v>
      </c>
      <c r="CE59" s="242" t="str">
        <f>Tabla24[[#This Row],[Columna1]]</f>
        <v>C1</v>
      </c>
      <c r="CF59" s="433">
        <f>Tabla2410[[#This Row],[Columna3]]/7</f>
        <v>0</v>
      </c>
      <c r="CG59" s="433">
        <f>Tabla2410[[#This Row],[Columna4]]/4.2</f>
        <v>0</v>
      </c>
      <c r="CH59" s="433">
        <f>Tabla24[[#This Row],[Columna16]]</f>
        <v>0</v>
      </c>
      <c r="CI59" s="433" t="e">
        <f>(Tabla2410[[#This Row],[Columna4]]*CI$56/$BZ$56)*$CH$55</f>
        <v>#DIV/0!</v>
      </c>
      <c r="CJ59" s="433" t="e">
        <f>(Tabla2410[[#This Row],[Columna4]]*CJ$56/$BZ$56)*$CH$55</f>
        <v>#DIV/0!</v>
      </c>
      <c r="CK59" s="433" t="e">
        <f>(Tabla2410[[#This Row],[Columna4]]*CK$56/$BZ$56)*$CH$55</f>
        <v>#DIV/0!</v>
      </c>
      <c r="CL59" s="433" t="e">
        <f>(Tabla2410[[#This Row],[Columna4]]*CL$56/$BZ$56)*$CH$55</f>
        <v>#DIV/0!</v>
      </c>
      <c r="CM59" s="433" t="e">
        <f>(Tabla2410[[#This Row],[Columna4]]*CM$56/$BZ$56)*$CH$55</f>
        <v>#DIV/0!</v>
      </c>
      <c r="CN59" s="433" t="e">
        <f>(Tabla2410[[#This Row],[Columna4]]*CN$56/$BZ$56)*$CH$55</f>
        <v>#DIV/0!</v>
      </c>
      <c r="CO59" s="433" t="e">
        <f>(Tabla2410[[#This Row],[Columna4]]*CO$56/$BZ$56)*$CH$55</f>
        <v>#DIV/0!</v>
      </c>
      <c r="CP59" s="433" t="e">
        <f>(Tabla2410[[#This Row],[Columna4]]*CP$56/$BZ$56)*$CH$55</f>
        <v>#DIV/0!</v>
      </c>
      <c r="CQ59" s="433" t="e">
        <f>(Tabla2410[[#This Row],[Columna4]]*CQ$56/$BZ$56)*$CH$55</f>
        <v>#DIV/0!</v>
      </c>
      <c r="CR59" s="433" t="e">
        <f>(Tabla2410[[#This Row],[Columna4]]*CR$56/$BZ$56)*$CH$55</f>
        <v>#DIV/0!</v>
      </c>
      <c r="CS59" s="433" t="e">
        <f>(Tabla2410[[#This Row],[Columna4]]*CS$56/$BZ$56)*$CH$55</f>
        <v>#DIV/0!</v>
      </c>
      <c r="CT59" s="433" t="e">
        <f>(Tabla2410[[#This Row],[Columna4]]*CT$56/$BZ$56)*$CH$55</f>
        <v>#DIV/0!</v>
      </c>
      <c r="CV59" s="524" t="s">
        <v>294</v>
      </c>
      <c r="CW59" s="524" t="e">
        <f>SUM(CX59:CX63)</f>
        <v>#DIV/0!</v>
      </c>
      <c r="CX59" s="298" t="e">
        <f>$AS$56</f>
        <v>#DIV/0!</v>
      </c>
      <c r="CY59" s="242" t="str">
        <f>Tabla24[[#This Row],[Columna1]]</f>
        <v>C1</v>
      </c>
      <c r="CZ59" s="433" t="e">
        <f>Tabla24105[[#This Row],[Columna3]]/7</f>
        <v>#DIV/0!</v>
      </c>
      <c r="DA59" s="433" t="e">
        <f>Tabla24105[[#This Row],[Columna4]]/4.2</f>
        <v>#DIV/0!</v>
      </c>
      <c r="DB59" s="433" t="e">
        <f>Tabla2410[[#This Row],[Columna16]]</f>
        <v>#DIV/0!</v>
      </c>
      <c r="DC59" s="433" t="e">
        <f>(Tabla24105[[#This Row],[Columna4]]*DC$56/$CT$56)*$DB$55</f>
        <v>#DIV/0!</v>
      </c>
      <c r="DD59" s="433" t="e">
        <f>(Tabla24105[[#This Row],[Columna4]]*DD$56/$CT$56)*$DB$55</f>
        <v>#DIV/0!</v>
      </c>
      <c r="DE59" s="433" t="e">
        <f>(Tabla24105[[#This Row],[Columna4]]*DE$56/$CT$56)*$DB$55</f>
        <v>#DIV/0!</v>
      </c>
      <c r="DF59" s="433" t="e">
        <f>(Tabla24105[[#This Row],[Columna4]]*DF$56/$CT$56)*$DB$55</f>
        <v>#DIV/0!</v>
      </c>
      <c r="DG59" s="433" t="e">
        <f>(Tabla24105[[#This Row],[Columna4]]*DG$56/$CT$56)*$DB$55</f>
        <v>#DIV/0!</v>
      </c>
      <c r="DH59" s="433" t="e">
        <f>(Tabla24105[[#This Row],[Columna4]]*DH$56/$CT$56)*$DB$55</f>
        <v>#DIV/0!</v>
      </c>
      <c r="DI59" s="433" t="e">
        <f>(Tabla24105[[#This Row],[Columna4]]*DI$56/$CT$56)*$DB$55</f>
        <v>#DIV/0!</v>
      </c>
      <c r="DJ59" s="433" t="e">
        <f>(Tabla24105[[#This Row],[Columna4]]*DJ$56/$CT$56)*$DB$55</f>
        <v>#DIV/0!</v>
      </c>
      <c r="DK59" s="433" t="e">
        <f>(Tabla24105[[#This Row],[Columna4]]*DK$56/$CT$56)*$DB$55</f>
        <v>#DIV/0!</v>
      </c>
      <c r="DL59" s="433" t="e">
        <f>(Tabla24105[[#This Row],[Columna4]]*DL$56/$CT$56)*$DB$55</f>
        <v>#DIV/0!</v>
      </c>
      <c r="DM59" s="433" t="e">
        <f>(Tabla24105[[#This Row],[Columna4]]*DM$56/$CT$56)*$DB$55</f>
        <v>#DIV/0!</v>
      </c>
      <c r="DN59" s="433" t="e">
        <f>(Tabla24105[[#This Row],[Columna4]]*DN$56/$CT$56)*$DB$55</f>
        <v>#DIV/0!</v>
      </c>
      <c r="DP59" s="524" t="s">
        <v>294</v>
      </c>
      <c r="DQ59" s="524" t="e">
        <f>SUM(DR59:DR63)</f>
        <v>#DIV/0!</v>
      </c>
      <c r="DR59" s="298" t="e">
        <f>$AS$56</f>
        <v>#DIV/0!</v>
      </c>
      <c r="DS59" s="242" t="str">
        <f>Tabla24[[#This Row],[Columna1]]</f>
        <v>C1</v>
      </c>
      <c r="DT59" s="433" t="e">
        <f>Tabla241057[[#This Row],[Columna3]]/7</f>
        <v>#DIV/0!</v>
      </c>
      <c r="DU59" s="433" t="e">
        <f>Tabla241057[[#This Row],[Columna4]]/4.2</f>
        <v>#DIV/0!</v>
      </c>
      <c r="DV59" s="433" t="e">
        <f>Tabla24105[[#This Row],[Columna16]]</f>
        <v>#DIV/0!</v>
      </c>
      <c r="DW59" s="433" t="e">
        <f>(Tabla241057[[#This Row],[Columna4]]*DW$56/$DN$56)*$DV$55</f>
        <v>#DIV/0!</v>
      </c>
      <c r="DX59" s="433" t="e">
        <f>(Tabla241057[[#This Row],[Columna4]]*DX$56/$DN$56)*$DV$55</f>
        <v>#DIV/0!</v>
      </c>
      <c r="DY59" s="433" t="e">
        <f>(Tabla241057[[#This Row],[Columna4]]*DY$56/$DN$56)*$DV$55</f>
        <v>#DIV/0!</v>
      </c>
      <c r="DZ59" s="433" t="e">
        <f>(Tabla241057[[#This Row],[Columna4]]*DZ$56/$DN$56)*$DV$55</f>
        <v>#DIV/0!</v>
      </c>
      <c r="EA59" s="433" t="e">
        <f>(Tabla241057[[#This Row],[Columna4]]*EA$56/$DN$56)*$DV$55</f>
        <v>#DIV/0!</v>
      </c>
      <c r="EB59" s="433" t="e">
        <f>(Tabla241057[[#This Row],[Columna4]]*EB$56/$DN$56)*$DV$55</f>
        <v>#DIV/0!</v>
      </c>
      <c r="EC59" s="433" t="e">
        <f>(Tabla241057[[#This Row],[Columna4]]*EC$56/$DN$56)*$DV$55</f>
        <v>#DIV/0!</v>
      </c>
      <c r="ED59" s="433" t="e">
        <f>(Tabla241057[[#This Row],[Columna4]]*ED$56/$DN$56)*$DV$55</f>
        <v>#DIV/0!</v>
      </c>
      <c r="EE59" s="433" t="e">
        <f>(Tabla241057[[#This Row],[Columna4]]*EE$56/$DN$56)*$DV$55</f>
        <v>#DIV/0!</v>
      </c>
      <c r="EF59" s="433" t="e">
        <f>(Tabla241057[[#This Row],[Columna4]]*EF$56/$DN$56)*$DV$55</f>
        <v>#DIV/0!</v>
      </c>
      <c r="EG59" s="433" t="e">
        <f>(Tabla241057[[#This Row],[Columna4]]*EG$56/$DN$56)*$DV$55</f>
        <v>#DIV/0!</v>
      </c>
      <c r="EH59" s="433" t="e">
        <f>(Tabla241057[[#This Row],[Columna4]]*EH$56/$DN$56)*$DV$55</f>
        <v>#DIV/0!</v>
      </c>
      <c r="EJ59" s="524" t="s">
        <v>294</v>
      </c>
      <c r="EK59" s="524" t="e">
        <f>SUM(EL59:EL63)</f>
        <v>#DIV/0!</v>
      </c>
      <c r="EL59" s="298" t="e">
        <f>$AS$56</f>
        <v>#DIV/0!</v>
      </c>
      <c r="EM59" s="242" t="str">
        <f>Tabla24[[#This Row],[Columna1]]</f>
        <v>C1</v>
      </c>
      <c r="EN59" s="433" t="e">
        <f>Tabla24105711[[#This Row],[Columna3]]/7</f>
        <v>#DIV/0!</v>
      </c>
      <c r="EO59" s="433" t="e">
        <f>Tabla24105711[[#This Row],[Columna4]]/4.2</f>
        <v>#DIV/0!</v>
      </c>
      <c r="EP59" s="433" t="e">
        <f>Tabla241057[[#This Row],[Columna16]]</f>
        <v>#DIV/0!</v>
      </c>
      <c r="EQ59" s="433" t="e">
        <f>(Tabla24105711[[#This Row],[Columna4]]*EQ$56/$EH$56)*$EP$55</f>
        <v>#DIV/0!</v>
      </c>
      <c r="ER59" s="433" t="e">
        <f>(Tabla24105711[[#This Row],[Columna4]]*ER$56/$EH$56)*$EP$55</f>
        <v>#DIV/0!</v>
      </c>
      <c r="ES59" s="433" t="e">
        <f>(Tabla24105711[[#This Row],[Columna4]]*ES$56/$EH$56)*$EP$55</f>
        <v>#DIV/0!</v>
      </c>
      <c r="ET59" s="433" t="e">
        <f>(Tabla24105711[[#This Row],[Columna4]]*ET$56/$EH$56)*$EP$55</f>
        <v>#DIV/0!</v>
      </c>
      <c r="EU59" s="433" t="e">
        <f>(Tabla24105711[[#This Row],[Columna4]]*EU$56/$EH$56)*$EP$55</f>
        <v>#DIV/0!</v>
      </c>
      <c r="EV59" s="433" t="e">
        <f>(Tabla24105711[[#This Row],[Columna4]]*EV$56/$EH$56)*$EP$55</f>
        <v>#DIV/0!</v>
      </c>
      <c r="EW59" s="433" t="e">
        <f>(Tabla24105711[[#This Row],[Columna4]]*EW$56/$EH$56)*$EP$55</f>
        <v>#DIV/0!</v>
      </c>
      <c r="EX59" s="433" t="e">
        <f>(Tabla24105711[[#This Row],[Columna4]]*EX$56/$EH$56)*$EP$55</f>
        <v>#DIV/0!</v>
      </c>
      <c r="EY59" s="433" t="e">
        <f>(Tabla24105711[[#This Row],[Columna4]]*EY$56/$EH$56)*$EP$55</f>
        <v>#DIV/0!</v>
      </c>
      <c r="EZ59" s="433" t="e">
        <f>(Tabla24105711[[#This Row],[Columna4]]*EZ$56/$EH$56)*$EP$55</f>
        <v>#DIV/0!</v>
      </c>
      <c r="FA59" s="433" t="e">
        <f>(Tabla24105711[[#This Row],[Columna4]]*FA$56/$EH$56)*$EP$55</f>
        <v>#DIV/0!</v>
      </c>
      <c r="FB59" s="433" t="e">
        <f>(Tabla24105711[[#This Row],[Columna4]]*FB$56/$EH$56)*$EP$55</f>
        <v>#DIV/0!</v>
      </c>
      <c r="FD59" s="397" t="s">
        <v>75</v>
      </c>
      <c r="FE59" s="399" t="s">
        <v>72</v>
      </c>
      <c r="FF59" s="400">
        <f t="shared" si="275"/>
        <v>0</v>
      </c>
      <c r="FG59" s="400">
        <f t="shared" si="275"/>
        <v>0</v>
      </c>
      <c r="FH59" s="400">
        <f t="shared" si="275"/>
        <v>0</v>
      </c>
      <c r="FI59" s="400">
        <f t="shared" si="275"/>
        <v>0</v>
      </c>
      <c r="FJ59" s="400">
        <f t="shared" si="275"/>
        <v>0</v>
      </c>
      <c r="FK59" s="400">
        <f t="shared" si="275"/>
        <v>0</v>
      </c>
      <c r="FL59" s="400">
        <f t="shared" si="275"/>
        <v>0</v>
      </c>
      <c r="FM59" s="400">
        <f t="shared" si="275"/>
        <v>0</v>
      </c>
      <c r="FN59" s="400">
        <f t="shared" si="275"/>
        <v>0</v>
      </c>
      <c r="FO59" s="400">
        <f t="shared" si="275"/>
        <v>0</v>
      </c>
      <c r="FP59" s="400">
        <f t="shared" si="275"/>
        <v>0</v>
      </c>
      <c r="FQ59" s="400">
        <f t="shared" si="275"/>
        <v>0</v>
      </c>
      <c r="FR59" s="363">
        <f t="shared" si="197"/>
        <v>0</v>
      </c>
      <c r="FS59" s="260" t="e">
        <f t="shared" si="198"/>
        <v>#DIV/0!</v>
      </c>
      <c r="FW59" s="260" t="e">
        <f>FW58/FW37</f>
        <v>#DIV/0!</v>
      </c>
      <c r="FX59" s="260" t="e">
        <f t="shared" ref="FX59:GH59" si="291">FX58/FX37</f>
        <v>#DIV/0!</v>
      </c>
      <c r="FY59" s="260" t="e">
        <f t="shared" si="291"/>
        <v>#DIV/0!</v>
      </c>
      <c r="FZ59" s="260" t="e">
        <f t="shared" si="291"/>
        <v>#DIV/0!</v>
      </c>
      <c r="GA59" s="260" t="e">
        <f t="shared" si="291"/>
        <v>#DIV/0!</v>
      </c>
      <c r="GB59" s="260" t="e">
        <f t="shared" si="291"/>
        <v>#DIV/0!</v>
      </c>
      <c r="GC59" s="260" t="e">
        <f t="shared" si="291"/>
        <v>#DIV/0!</v>
      </c>
      <c r="GD59" s="260" t="e">
        <f t="shared" si="291"/>
        <v>#DIV/0!</v>
      </c>
      <c r="GE59" s="260" t="e">
        <f t="shared" si="291"/>
        <v>#DIV/0!</v>
      </c>
      <c r="GF59" s="260" t="e">
        <f t="shared" si="291"/>
        <v>#DIV/0!</v>
      </c>
      <c r="GG59" s="260" t="e">
        <f t="shared" si="291"/>
        <v>#DIV/0!</v>
      </c>
      <c r="GH59" s="260" t="e">
        <f t="shared" si="291"/>
        <v>#DIV/0!</v>
      </c>
      <c r="GJ59" s="262"/>
      <c r="HD59" s="65" t="s">
        <v>535</v>
      </c>
      <c r="HE59" s="66">
        <v>0</v>
      </c>
      <c r="HF59" s="67">
        <f t="shared" si="251"/>
        <v>0</v>
      </c>
      <c r="HG59" s="68">
        <f t="shared" si="252"/>
        <v>0</v>
      </c>
      <c r="HH59" s="69">
        <v>1</v>
      </c>
      <c r="HI59" s="367">
        <v>0</v>
      </c>
      <c r="HJ59" s="140"/>
      <c r="HM59" s="283"/>
      <c r="HN59" s="432">
        <v>45017</v>
      </c>
      <c r="HO59" s="285"/>
      <c r="HP59" s="283"/>
      <c r="HQ59" s="286"/>
      <c r="HR59" s="283"/>
      <c r="HS59" s="286"/>
      <c r="HT59" s="283"/>
      <c r="HU59" s="286"/>
      <c r="HV59" s="283"/>
      <c r="HW59" s="286"/>
      <c r="HX59" s="283"/>
      <c r="HY59" s="286"/>
      <c r="HZ59" s="283"/>
      <c r="IA59" s="286"/>
      <c r="IB59" s="283"/>
      <c r="IC59" s="286"/>
      <c r="ID59" s="283"/>
      <c r="IE59" s="286"/>
      <c r="IF59" s="283"/>
      <c r="IG59" s="286"/>
      <c r="IH59" s="283"/>
      <c r="II59" s="286"/>
      <c r="IJ59" s="283"/>
      <c r="IK59" s="286"/>
      <c r="IL59" s="283"/>
      <c r="IM59" s="288"/>
    </row>
    <row r="60" spans="3:247" ht="14.4" customHeight="1" x14ac:dyDescent="0.3">
      <c r="AM60" s="295">
        <f t="shared" si="270"/>
        <v>0</v>
      </c>
      <c r="AN60" s="295">
        <f t="shared" si="271"/>
        <v>0</v>
      </c>
      <c r="AO60" s="295">
        <f t="shared" si="272"/>
        <v>0</v>
      </c>
      <c r="AP60" s="295">
        <f t="shared" si="273"/>
        <v>0</v>
      </c>
      <c r="AQ60" s="296" t="s">
        <v>773</v>
      </c>
      <c r="AR60" s="297">
        <f t="shared" si="274"/>
        <v>0</v>
      </c>
      <c r="AS60" s="298" t="e">
        <f t="shared" si="267"/>
        <v>#DIV/0!</v>
      </c>
      <c r="AT60" s="524"/>
      <c r="AU60" s="524"/>
      <c r="AV60" s="299">
        <v>0</v>
      </c>
      <c r="AW60" s="300">
        <v>0</v>
      </c>
      <c r="AX60" s="301"/>
      <c r="BH60" s="524"/>
      <c r="BI60" s="524"/>
      <c r="BJ60" s="298" t="e">
        <f>$AS$57</f>
        <v>#DIV/0!</v>
      </c>
      <c r="BK60" s="242" t="str">
        <f t="shared" si="277"/>
        <v>C2</v>
      </c>
      <c r="BL60" s="433">
        <f>Tabla24[[#This Row],[Columna3]]/7</f>
        <v>0</v>
      </c>
      <c r="BM60" s="433">
        <f>Tabla24[[#This Row],[Columna4]]/4.2</f>
        <v>0</v>
      </c>
      <c r="BN60" s="433">
        <f t="shared" si="278"/>
        <v>0</v>
      </c>
      <c r="BO60" s="433">
        <f t="shared" si="279"/>
        <v>0</v>
      </c>
      <c r="BP60" s="433">
        <f t="shared" si="280"/>
        <v>0</v>
      </c>
      <c r="BQ60" s="433">
        <f t="shared" si="281"/>
        <v>0</v>
      </c>
      <c r="BR60" s="433">
        <f t="shared" si="282"/>
        <v>0</v>
      </c>
      <c r="BS60" s="433">
        <f t="shared" si="283"/>
        <v>0</v>
      </c>
      <c r="BT60" s="433">
        <f t="shared" si="284"/>
        <v>0</v>
      </c>
      <c r="BU60" s="433">
        <f t="shared" si="285"/>
        <v>0</v>
      </c>
      <c r="BV60" s="433">
        <f t="shared" si="286"/>
        <v>0</v>
      </c>
      <c r="BW60" s="433">
        <f t="shared" si="287"/>
        <v>0</v>
      </c>
      <c r="BX60" s="433">
        <f t="shared" si="288"/>
        <v>0</v>
      </c>
      <c r="BY60" s="433">
        <f t="shared" si="289"/>
        <v>0</v>
      </c>
      <c r="BZ60" s="433">
        <f t="shared" si="290"/>
        <v>0</v>
      </c>
      <c r="CB60" s="524"/>
      <c r="CC60" s="524"/>
      <c r="CD60" s="298" t="e">
        <f>$AS$57</f>
        <v>#DIV/0!</v>
      </c>
      <c r="CE60" s="242" t="str">
        <f>Tabla24[[#This Row],[Columna1]]</f>
        <v>C2</v>
      </c>
      <c r="CF60" s="433">
        <f>Tabla2410[[#This Row],[Columna3]]/7</f>
        <v>0</v>
      </c>
      <c r="CG60" s="433">
        <f>Tabla2410[[#This Row],[Columna4]]/4.2</f>
        <v>0</v>
      </c>
      <c r="CH60" s="433">
        <f>Tabla24[[#This Row],[Columna16]]</f>
        <v>0</v>
      </c>
      <c r="CI60" s="433" t="e">
        <f>(Tabla2410[[#This Row],[Columna4]]*CI$56/$BZ$56)*$CH$55</f>
        <v>#DIV/0!</v>
      </c>
      <c r="CJ60" s="433" t="e">
        <f>(Tabla2410[[#This Row],[Columna4]]*CJ$56/$BZ$56)*$CH$55</f>
        <v>#DIV/0!</v>
      </c>
      <c r="CK60" s="433" t="e">
        <f>(Tabla2410[[#This Row],[Columna4]]*CK$56/$BZ$56)*$CH$55</f>
        <v>#DIV/0!</v>
      </c>
      <c r="CL60" s="433" t="e">
        <f>(Tabla2410[[#This Row],[Columna4]]*CL$56/$BZ$56)*$CH$55</f>
        <v>#DIV/0!</v>
      </c>
      <c r="CM60" s="433" t="e">
        <f>(Tabla2410[[#This Row],[Columna4]]*CM$56/$BZ$56)*$CH$55</f>
        <v>#DIV/0!</v>
      </c>
      <c r="CN60" s="433" t="e">
        <f>(Tabla2410[[#This Row],[Columna4]]*CN$56/$BZ$56)*$CH$55</f>
        <v>#DIV/0!</v>
      </c>
      <c r="CO60" s="433" t="e">
        <f>(Tabla2410[[#This Row],[Columna4]]*CO$56/$BZ$56)*$CH$55</f>
        <v>#DIV/0!</v>
      </c>
      <c r="CP60" s="433" t="e">
        <f>(Tabla2410[[#This Row],[Columna4]]*CP$56/$BZ$56)*$CH$55</f>
        <v>#DIV/0!</v>
      </c>
      <c r="CQ60" s="433" t="e">
        <f>(Tabla2410[[#This Row],[Columna4]]*CQ$56/$BZ$56)*$CH$55</f>
        <v>#DIV/0!</v>
      </c>
      <c r="CR60" s="433" t="e">
        <f>(Tabla2410[[#This Row],[Columna4]]*CR$56/$BZ$56)*$CH$55</f>
        <v>#DIV/0!</v>
      </c>
      <c r="CS60" s="433" t="e">
        <f>(Tabla2410[[#This Row],[Columna4]]*CS$56/$BZ$56)*$CH$55</f>
        <v>#DIV/0!</v>
      </c>
      <c r="CT60" s="433" t="e">
        <f>(Tabla2410[[#This Row],[Columna4]]*CT$56/$BZ$56)*$CH$55</f>
        <v>#DIV/0!</v>
      </c>
      <c r="CV60" s="524"/>
      <c r="CW60" s="524"/>
      <c r="CX60" s="298" t="e">
        <f>$AS$57</f>
        <v>#DIV/0!</v>
      </c>
      <c r="CY60" s="242" t="str">
        <f>Tabla24[[#This Row],[Columna1]]</f>
        <v>C2</v>
      </c>
      <c r="CZ60" s="433" t="e">
        <f>Tabla24105[[#This Row],[Columna3]]/7</f>
        <v>#DIV/0!</v>
      </c>
      <c r="DA60" s="433" t="e">
        <f>Tabla24105[[#This Row],[Columna4]]/4.2</f>
        <v>#DIV/0!</v>
      </c>
      <c r="DB60" s="433" t="e">
        <f>Tabla2410[[#This Row],[Columna16]]</f>
        <v>#DIV/0!</v>
      </c>
      <c r="DC60" s="433" t="e">
        <f>(Tabla24105[[#This Row],[Columna4]]*DC$56/$CT$56)*$DB$55</f>
        <v>#DIV/0!</v>
      </c>
      <c r="DD60" s="433" t="e">
        <f>(Tabla24105[[#This Row],[Columna4]]*DD$56/$CT$56)*$DB$55</f>
        <v>#DIV/0!</v>
      </c>
      <c r="DE60" s="433" t="e">
        <f>(Tabla24105[[#This Row],[Columna4]]*DE$56/$CT$56)*$DB$55</f>
        <v>#DIV/0!</v>
      </c>
      <c r="DF60" s="433" t="e">
        <f>(Tabla24105[[#This Row],[Columna4]]*DF$56/$CT$56)*$DB$55</f>
        <v>#DIV/0!</v>
      </c>
      <c r="DG60" s="433" t="e">
        <f>(Tabla24105[[#This Row],[Columna4]]*DG$56/$CT$56)*$DB$55</f>
        <v>#DIV/0!</v>
      </c>
      <c r="DH60" s="433" t="e">
        <f>(Tabla24105[[#This Row],[Columna4]]*DH$56/$CT$56)*$DB$55</f>
        <v>#DIV/0!</v>
      </c>
      <c r="DI60" s="433" t="e">
        <f>(Tabla24105[[#This Row],[Columna4]]*DI$56/$CT$56)*$DB$55</f>
        <v>#DIV/0!</v>
      </c>
      <c r="DJ60" s="433" t="e">
        <f>(Tabla24105[[#This Row],[Columna4]]*DJ$56/$CT$56)*$DB$55</f>
        <v>#DIV/0!</v>
      </c>
      <c r="DK60" s="433" t="e">
        <f>(Tabla24105[[#This Row],[Columna4]]*DK$56/$CT$56)*$DB$55</f>
        <v>#DIV/0!</v>
      </c>
      <c r="DL60" s="433" t="e">
        <f>(Tabla24105[[#This Row],[Columna4]]*DL$56/$CT$56)*$DB$55</f>
        <v>#DIV/0!</v>
      </c>
      <c r="DM60" s="433" t="e">
        <f>(Tabla24105[[#This Row],[Columna4]]*DM$56/$CT$56)*$DB$55</f>
        <v>#DIV/0!</v>
      </c>
      <c r="DN60" s="433" t="e">
        <f>(Tabla24105[[#This Row],[Columna4]]*DN$56/$CT$56)*$DB$55</f>
        <v>#DIV/0!</v>
      </c>
      <c r="DP60" s="524"/>
      <c r="DQ60" s="524"/>
      <c r="DR60" s="298" t="e">
        <f>$AS$57</f>
        <v>#DIV/0!</v>
      </c>
      <c r="DS60" s="242" t="str">
        <f>Tabla24[[#This Row],[Columna1]]</f>
        <v>C2</v>
      </c>
      <c r="DT60" s="433" t="e">
        <f>Tabla241057[[#This Row],[Columna3]]/7</f>
        <v>#DIV/0!</v>
      </c>
      <c r="DU60" s="433" t="e">
        <f>Tabla241057[[#This Row],[Columna4]]/4.2</f>
        <v>#DIV/0!</v>
      </c>
      <c r="DV60" s="433" t="e">
        <f>Tabla24105[[#This Row],[Columna16]]</f>
        <v>#DIV/0!</v>
      </c>
      <c r="DW60" s="433" t="e">
        <f>(Tabla241057[[#This Row],[Columna4]]*DW$56/$DN$56)*$DV$55</f>
        <v>#DIV/0!</v>
      </c>
      <c r="DX60" s="433" t="e">
        <f>(Tabla241057[[#This Row],[Columna4]]*DX$56/$DN$56)*$DV$55</f>
        <v>#DIV/0!</v>
      </c>
      <c r="DY60" s="433" t="e">
        <f>(Tabla241057[[#This Row],[Columna4]]*DY$56/$DN$56)*$DV$55</f>
        <v>#DIV/0!</v>
      </c>
      <c r="DZ60" s="433" t="e">
        <f>(Tabla241057[[#This Row],[Columna4]]*DZ$56/$DN$56)*$DV$55</f>
        <v>#DIV/0!</v>
      </c>
      <c r="EA60" s="433" t="e">
        <f>(Tabla241057[[#This Row],[Columna4]]*EA$56/$DN$56)*$DV$55</f>
        <v>#DIV/0!</v>
      </c>
      <c r="EB60" s="433" t="e">
        <f>(Tabla241057[[#This Row],[Columna4]]*EB$56/$DN$56)*$DV$55</f>
        <v>#DIV/0!</v>
      </c>
      <c r="EC60" s="433" t="e">
        <f>(Tabla241057[[#This Row],[Columna4]]*EC$56/$DN$56)*$DV$55</f>
        <v>#DIV/0!</v>
      </c>
      <c r="ED60" s="433" t="e">
        <f>(Tabla241057[[#This Row],[Columna4]]*ED$56/$DN$56)*$DV$55</f>
        <v>#DIV/0!</v>
      </c>
      <c r="EE60" s="433" t="e">
        <f>(Tabla241057[[#This Row],[Columna4]]*EE$56/$DN$56)*$DV$55</f>
        <v>#DIV/0!</v>
      </c>
      <c r="EF60" s="433" t="e">
        <f>(Tabla241057[[#This Row],[Columna4]]*EF$56/$DN$56)*$DV$55</f>
        <v>#DIV/0!</v>
      </c>
      <c r="EG60" s="433" t="e">
        <f>(Tabla241057[[#This Row],[Columna4]]*EG$56/$DN$56)*$DV$55</f>
        <v>#DIV/0!</v>
      </c>
      <c r="EH60" s="433" t="e">
        <f>(Tabla241057[[#This Row],[Columna4]]*EH$56/$DN$56)*$DV$55</f>
        <v>#DIV/0!</v>
      </c>
      <c r="EJ60" s="524"/>
      <c r="EK60" s="524"/>
      <c r="EL60" s="298" t="e">
        <f>$AS$57</f>
        <v>#DIV/0!</v>
      </c>
      <c r="EM60" s="242" t="str">
        <f>Tabla24[[#This Row],[Columna1]]</f>
        <v>C2</v>
      </c>
      <c r="EN60" s="433" t="e">
        <f>Tabla24105711[[#This Row],[Columna3]]/7</f>
        <v>#DIV/0!</v>
      </c>
      <c r="EO60" s="433" t="e">
        <f>Tabla24105711[[#This Row],[Columna4]]/4.2</f>
        <v>#DIV/0!</v>
      </c>
      <c r="EP60" s="433" t="e">
        <f>Tabla241057[[#This Row],[Columna16]]</f>
        <v>#DIV/0!</v>
      </c>
      <c r="EQ60" s="433" t="e">
        <f>(Tabla24105711[[#This Row],[Columna4]]*EQ$56/$EH$56)*$EP$55</f>
        <v>#DIV/0!</v>
      </c>
      <c r="ER60" s="433" t="e">
        <f>(Tabla24105711[[#This Row],[Columna4]]*ER$56/$EH$56)*$EP$55</f>
        <v>#DIV/0!</v>
      </c>
      <c r="ES60" s="433" t="e">
        <f>(Tabla24105711[[#This Row],[Columna4]]*ES$56/$EH$56)*$EP$55</f>
        <v>#DIV/0!</v>
      </c>
      <c r="ET60" s="433" t="e">
        <f>(Tabla24105711[[#This Row],[Columna4]]*ET$56/$EH$56)*$EP$55</f>
        <v>#DIV/0!</v>
      </c>
      <c r="EU60" s="433" t="e">
        <f>(Tabla24105711[[#This Row],[Columna4]]*EU$56/$EH$56)*$EP$55</f>
        <v>#DIV/0!</v>
      </c>
      <c r="EV60" s="433" t="e">
        <f>(Tabla24105711[[#This Row],[Columna4]]*EV$56/$EH$56)*$EP$55</f>
        <v>#DIV/0!</v>
      </c>
      <c r="EW60" s="433" t="e">
        <f>(Tabla24105711[[#This Row],[Columna4]]*EW$56/$EH$56)*$EP$55</f>
        <v>#DIV/0!</v>
      </c>
      <c r="EX60" s="433" t="e">
        <f>(Tabla24105711[[#This Row],[Columna4]]*EX$56/$EH$56)*$EP$55</f>
        <v>#DIV/0!</v>
      </c>
      <c r="EY60" s="433" t="e">
        <f>(Tabla24105711[[#This Row],[Columna4]]*EY$56/$EH$56)*$EP$55</f>
        <v>#DIV/0!</v>
      </c>
      <c r="EZ60" s="433" t="e">
        <f>(Tabla24105711[[#This Row],[Columna4]]*EZ$56/$EH$56)*$EP$55</f>
        <v>#DIV/0!</v>
      </c>
      <c r="FA60" s="433" t="e">
        <f>(Tabla24105711[[#This Row],[Columna4]]*FA$56/$EH$56)*$EP$55</f>
        <v>#DIV/0!</v>
      </c>
      <c r="FB60" s="433" t="e">
        <f>(Tabla24105711[[#This Row],[Columna4]]*FB$56/$EH$56)*$EP$55</f>
        <v>#DIV/0!</v>
      </c>
      <c r="FD60" s="397" t="s">
        <v>77</v>
      </c>
      <c r="FE60" s="399" t="s">
        <v>74</v>
      </c>
      <c r="FF60" s="400">
        <f t="shared" si="275"/>
        <v>0</v>
      </c>
      <c r="FG60" s="400">
        <f t="shared" si="275"/>
        <v>0</v>
      </c>
      <c r="FH60" s="400">
        <f t="shared" si="275"/>
        <v>0</v>
      </c>
      <c r="FI60" s="400">
        <f t="shared" si="275"/>
        <v>0</v>
      </c>
      <c r="FJ60" s="400">
        <f t="shared" si="275"/>
        <v>0</v>
      </c>
      <c r="FK60" s="400">
        <f t="shared" si="275"/>
        <v>0</v>
      </c>
      <c r="FL60" s="400">
        <f t="shared" si="275"/>
        <v>0</v>
      </c>
      <c r="FM60" s="400">
        <f t="shared" si="275"/>
        <v>0</v>
      </c>
      <c r="FN60" s="400">
        <f t="shared" si="275"/>
        <v>0</v>
      </c>
      <c r="FO60" s="400">
        <f t="shared" si="275"/>
        <v>0</v>
      </c>
      <c r="FP60" s="400">
        <f t="shared" si="275"/>
        <v>0</v>
      </c>
      <c r="FQ60" s="400">
        <f t="shared" si="275"/>
        <v>0</v>
      </c>
      <c r="FR60" s="363">
        <f t="shared" si="197"/>
        <v>0</v>
      </c>
      <c r="FS60" s="260" t="e">
        <f t="shared" si="198"/>
        <v>#DIV/0!</v>
      </c>
      <c r="FX60" s="351"/>
      <c r="FY60" s="351"/>
      <c r="FZ60" s="351"/>
      <c r="GA60" s="351"/>
      <c r="GB60" s="351"/>
      <c r="GC60" s="351"/>
      <c r="GD60" s="351"/>
      <c r="GE60" s="351"/>
      <c r="GF60" s="351"/>
      <c r="GG60" s="351"/>
      <c r="GH60" s="351"/>
      <c r="GJ60" s="262"/>
      <c r="HD60" s="65" t="s">
        <v>657</v>
      </c>
      <c r="HE60" s="66">
        <v>0</v>
      </c>
      <c r="HF60" s="67">
        <f t="shared" si="251"/>
        <v>0</v>
      </c>
      <c r="HG60" s="68">
        <f t="shared" si="252"/>
        <v>0</v>
      </c>
      <c r="HH60" s="69">
        <v>1</v>
      </c>
      <c r="HI60" s="367">
        <v>0</v>
      </c>
      <c r="HJ60" s="140"/>
      <c r="HM60" s="283"/>
      <c r="HN60" s="432">
        <v>45047</v>
      </c>
      <c r="HO60" s="285"/>
      <c r="HP60" s="283"/>
      <c r="HQ60" s="286"/>
      <c r="HR60" s="283"/>
      <c r="HS60" s="286"/>
      <c r="HT60" s="283"/>
      <c r="HU60" s="286"/>
      <c r="HV60" s="283"/>
      <c r="HW60" s="286"/>
      <c r="HX60" s="283"/>
      <c r="HY60" s="286"/>
      <c r="HZ60" s="283"/>
      <c r="IA60" s="286"/>
      <c r="IB60" s="283"/>
      <c r="IC60" s="286"/>
      <c r="ID60" s="283"/>
      <c r="IE60" s="286"/>
      <c r="IF60" s="283"/>
      <c r="IG60" s="286"/>
      <c r="IH60" s="283"/>
      <c r="II60" s="286"/>
      <c r="IJ60" s="283"/>
      <c r="IK60" s="286"/>
      <c r="IL60" s="283"/>
      <c r="IM60" s="288"/>
    </row>
    <row r="61" spans="3:247" ht="14.4" customHeight="1" x14ac:dyDescent="0.3">
      <c r="AM61" s="348">
        <f t="shared" si="270"/>
        <v>0</v>
      </c>
      <c r="AN61" s="348">
        <f t="shared" si="271"/>
        <v>0</v>
      </c>
      <c r="AO61" s="348">
        <f t="shared" si="272"/>
        <v>0</v>
      </c>
      <c r="AP61" s="348">
        <f t="shared" si="273"/>
        <v>0</v>
      </c>
      <c r="AQ61" s="349" t="s">
        <v>774</v>
      </c>
      <c r="AR61" s="297">
        <f t="shared" si="274"/>
        <v>0</v>
      </c>
      <c r="AS61" s="350" t="e">
        <f t="shared" si="267"/>
        <v>#DIV/0!</v>
      </c>
      <c r="AT61" s="530" t="e">
        <f>SUM(AS61:AS63)</f>
        <v>#DIV/0!</v>
      </c>
      <c r="AU61" s="530" t="s">
        <v>306</v>
      </c>
      <c r="AV61" s="299">
        <v>0</v>
      </c>
      <c r="AW61" s="300">
        <v>0</v>
      </c>
      <c r="AX61" s="301"/>
      <c r="BH61" s="524"/>
      <c r="BI61" s="524"/>
      <c r="BJ61" s="298" t="e">
        <f>$AS$58</f>
        <v>#DIV/0!</v>
      </c>
      <c r="BK61" s="242" t="str">
        <f t="shared" si="277"/>
        <v>C3</v>
      </c>
      <c r="BL61" s="433">
        <f>Tabla24[[#This Row],[Columna3]]/7</f>
        <v>0</v>
      </c>
      <c r="BM61" s="433">
        <f>Tabla24[[#This Row],[Columna4]]/4.2</f>
        <v>0</v>
      </c>
      <c r="BN61" s="433">
        <f t="shared" si="278"/>
        <v>0</v>
      </c>
      <c r="BO61" s="433">
        <f t="shared" si="279"/>
        <v>0</v>
      </c>
      <c r="BP61" s="433">
        <f t="shared" si="280"/>
        <v>0</v>
      </c>
      <c r="BQ61" s="433">
        <f t="shared" si="281"/>
        <v>0</v>
      </c>
      <c r="BR61" s="433">
        <f t="shared" si="282"/>
        <v>0</v>
      </c>
      <c r="BS61" s="433">
        <f t="shared" si="283"/>
        <v>0</v>
      </c>
      <c r="BT61" s="433">
        <f t="shared" si="284"/>
        <v>0</v>
      </c>
      <c r="BU61" s="433">
        <f t="shared" si="285"/>
        <v>0</v>
      </c>
      <c r="BV61" s="433">
        <f t="shared" si="286"/>
        <v>0</v>
      </c>
      <c r="BW61" s="433">
        <f t="shared" si="287"/>
        <v>0</v>
      </c>
      <c r="BX61" s="433">
        <f t="shared" si="288"/>
        <v>0</v>
      </c>
      <c r="BY61" s="433">
        <f t="shared" si="289"/>
        <v>0</v>
      </c>
      <c r="BZ61" s="433">
        <f t="shared" si="290"/>
        <v>0</v>
      </c>
      <c r="CB61" s="524"/>
      <c r="CC61" s="524"/>
      <c r="CD61" s="298" t="e">
        <f>$AS$58</f>
        <v>#DIV/0!</v>
      </c>
      <c r="CE61" s="242" t="str">
        <f>Tabla24[[#This Row],[Columna1]]</f>
        <v>C3</v>
      </c>
      <c r="CF61" s="433">
        <f>Tabla2410[[#This Row],[Columna3]]/7</f>
        <v>0</v>
      </c>
      <c r="CG61" s="433">
        <f>Tabla2410[[#This Row],[Columna4]]/4.2</f>
        <v>0</v>
      </c>
      <c r="CH61" s="433">
        <f>Tabla24[[#This Row],[Columna16]]</f>
        <v>0</v>
      </c>
      <c r="CI61" s="433" t="e">
        <f>(Tabla2410[[#This Row],[Columna4]]*CI$56/$BZ$56)*$CH$55</f>
        <v>#DIV/0!</v>
      </c>
      <c r="CJ61" s="433" t="e">
        <f>(Tabla2410[[#This Row],[Columna4]]*CJ$56/$BZ$56)*$CH$55</f>
        <v>#DIV/0!</v>
      </c>
      <c r="CK61" s="433" t="e">
        <f>(Tabla2410[[#This Row],[Columna4]]*CK$56/$BZ$56)*$CH$55</f>
        <v>#DIV/0!</v>
      </c>
      <c r="CL61" s="433" t="e">
        <f>(Tabla2410[[#This Row],[Columna4]]*CL$56/$BZ$56)*$CH$55</f>
        <v>#DIV/0!</v>
      </c>
      <c r="CM61" s="433" t="e">
        <f>(Tabla2410[[#This Row],[Columna4]]*CM$56/$BZ$56)*$CH$55</f>
        <v>#DIV/0!</v>
      </c>
      <c r="CN61" s="433" t="e">
        <f>(Tabla2410[[#This Row],[Columna4]]*CN$56/$BZ$56)*$CH$55</f>
        <v>#DIV/0!</v>
      </c>
      <c r="CO61" s="433" t="e">
        <f>(Tabla2410[[#This Row],[Columna4]]*CO$56/$BZ$56)*$CH$55</f>
        <v>#DIV/0!</v>
      </c>
      <c r="CP61" s="433" t="e">
        <f>(Tabla2410[[#This Row],[Columna4]]*CP$56/$BZ$56)*$CH$55</f>
        <v>#DIV/0!</v>
      </c>
      <c r="CQ61" s="433" t="e">
        <f>(Tabla2410[[#This Row],[Columna4]]*CQ$56/$BZ$56)*$CH$55</f>
        <v>#DIV/0!</v>
      </c>
      <c r="CR61" s="433" t="e">
        <f>(Tabla2410[[#This Row],[Columna4]]*CR$56/$BZ$56)*$CH$55</f>
        <v>#DIV/0!</v>
      </c>
      <c r="CS61" s="433" t="e">
        <f>(Tabla2410[[#This Row],[Columna4]]*CS$56/$BZ$56)*$CH$55</f>
        <v>#DIV/0!</v>
      </c>
      <c r="CT61" s="433" t="e">
        <f>(Tabla2410[[#This Row],[Columna4]]*CT$56/$BZ$56)*$CH$55</f>
        <v>#DIV/0!</v>
      </c>
      <c r="CV61" s="524"/>
      <c r="CW61" s="524"/>
      <c r="CX61" s="298" t="e">
        <f>$AS$58</f>
        <v>#DIV/0!</v>
      </c>
      <c r="CY61" s="242" t="str">
        <f>Tabla24[[#This Row],[Columna1]]</f>
        <v>C3</v>
      </c>
      <c r="CZ61" s="433" t="e">
        <f>Tabla24105[[#This Row],[Columna3]]/7</f>
        <v>#DIV/0!</v>
      </c>
      <c r="DA61" s="433" t="e">
        <f>Tabla24105[[#This Row],[Columna4]]/4.2</f>
        <v>#DIV/0!</v>
      </c>
      <c r="DB61" s="433" t="e">
        <f>Tabla2410[[#This Row],[Columna16]]</f>
        <v>#DIV/0!</v>
      </c>
      <c r="DC61" s="433" t="e">
        <f>(Tabla24105[[#This Row],[Columna4]]*DC$56/$CT$56)*$DB$55</f>
        <v>#DIV/0!</v>
      </c>
      <c r="DD61" s="433" t="e">
        <f>(Tabla24105[[#This Row],[Columna4]]*DD$56/$CT$56)*$DB$55</f>
        <v>#DIV/0!</v>
      </c>
      <c r="DE61" s="433" t="e">
        <f>(Tabla24105[[#This Row],[Columna4]]*DE$56/$CT$56)*$DB$55</f>
        <v>#DIV/0!</v>
      </c>
      <c r="DF61" s="433" t="e">
        <f>(Tabla24105[[#This Row],[Columna4]]*DF$56/$CT$56)*$DB$55</f>
        <v>#DIV/0!</v>
      </c>
      <c r="DG61" s="433" t="e">
        <f>(Tabla24105[[#This Row],[Columna4]]*DG$56/$CT$56)*$DB$55</f>
        <v>#DIV/0!</v>
      </c>
      <c r="DH61" s="433" t="e">
        <f>(Tabla24105[[#This Row],[Columna4]]*DH$56/$CT$56)*$DB$55</f>
        <v>#DIV/0!</v>
      </c>
      <c r="DI61" s="433" t="e">
        <f>(Tabla24105[[#This Row],[Columna4]]*DI$56/$CT$56)*$DB$55</f>
        <v>#DIV/0!</v>
      </c>
      <c r="DJ61" s="433" t="e">
        <f>(Tabla24105[[#This Row],[Columna4]]*DJ$56/$CT$56)*$DB$55</f>
        <v>#DIV/0!</v>
      </c>
      <c r="DK61" s="433" t="e">
        <f>(Tabla24105[[#This Row],[Columna4]]*DK$56/$CT$56)*$DB$55</f>
        <v>#DIV/0!</v>
      </c>
      <c r="DL61" s="433" t="e">
        <f>(Tabla24105[[#This Row],[Columna4]]*DL$56/$CT$56)*$DB$55</f>
        <v>#DIV/0!</v>
      </c>
      <c r="DM61" s="433" t="e">
        <f>(Tabla24105[[#This Row],[Columna4]]*DM$56/$CT$56)*$DB$55</f>
        <v>#DIV/0!</v>
      </c>
      <c r="DN61" s="433" t="e">
        <f>(Tabla24105[[#This Row],[Columna4]]*DN$56/$CT$56)*$DB$55</f>
        <v>#DIV/0!</v>
      </c>
      <c r="DP61" s="524"/>
      <c r="DQ61" s="524"/>
      <c r="DR61" s="298" t="e">
        <f>$AS$58</f>
        <v>#DIV/0!</v>
      </c>
      <c r="DS61" s="242" t="str">
        <f>Tabla24[[#This Row],[Columna1]]</f>
        <v>C3</v>
      </c>
      <c r="DT61" s="433" t="e">
        <f>Tabla241057[[#This Row],[Columna3]]/7</f>
        <v>#DIV/0!</v>
      </c>
      <c r="DU61" s="433" t="e">
        <f>Tabla241057[[#This Row],[Columna4]]/4.2</f>
        <v>#DIV/0!</v>
      </c>
      <c r="DV61" s="433" t="e">
        <f>Tabla24105[[#This Row],[Columna16]]</f>
        <v>#DIV/0!</v>
      </c>
      <c r="DW61" s="433" t="e">
        <f>(Tabla241057[[#This Row],[Columna4]]*DW$56/$DN$56)*$DV$55</f>
        <v>#DIV/0!</v>
      </c>
      <c r="DX61" s="433" t="e">
        <f>(Tabla241057[[#This Row],[Columna4]]*DX$56/$DN$56)*$DV$55</f>
        <v>#DIV/0!</v>
      </c>
      <c r="DY61" s="433" t="e">
        <f>(Tabla241057[[#This Row],[Columna4]]*DY$56/$DN$56)*$DV$55</f>
        <v>#DIV/0!</v>
      </c>
      <c r="DZ61" s="433" t="e">
        <f>(Tabla241057[[#This Row],[Columna4]]*DZ$56/$DN$56)*$DV$55</f>
        <v>#DIV/0!</v>
      </c>
      <c r="EA61" s="433" t="e">
        <f>(Tabla241057[[#This Row],[Columna4]]*EA$56/$DN$56)*$DV$55</f>
        <v>#DIV/0!</v>
      </c>
      <c r="EB61" s="433" t="e">
        <f>(Tabla241057[[#This Row],[Columna4]]*EB$56/$DN$56)*$DV$55</f>
        <v>#DIV/0!</v>
      </c>
      <c r="EC61" s="433" t="e">
        <f>(Tabla241057[[#This Row],[Columna4]]*EC$56/$DN$56)*$DV$55</f>
        <v>#DIV/0!</v>
      </c>
      <c r="ED61" s="433" t="e">
        <f>(Tabla241057[[#This Row],[Columna4]]*ED$56/$DN$56)*$DV$55</f>
        <v>#DIV/0!</v>
      </c>
      <c r="EE61" s="433" t="e">
        <f>(Tabla241057[[#This Row],[Columna4]]*EE$56/$DN$56)*$DV$55</f>
        <v>#DIV/0!</v>
      </c>
      <c r="EF61" s="433" t="e">
        <f>(Tabla241057[[#This Row],[Columna4]]*EF$56/$DN$56)*$DV$55</f>
        <v>#DIV/0!</v>
      </c>
      <c r="EG61" s="433" t="e">
        <f>(Tabla241057[[#This Row],[Columna4]]*EG$56/$DN$56)*$DV$55</f>
        <v>#DIV/0!</v>
      </c>
      <c r="EH61" s="433" t="e">
        <f>(Tabla241057[[#This Row],[Columna4]]*EH$56/$DN$56)*$DV$55</f>
        <v>#DIV/0!</v>
      </c>
      <c r="EJ61" s="524"/>
      <c r="EK61" s="524"/>
      <c r="EL61" s="298" t="e">
        <f>$AS$58</f>
        <v>#DIV/0!</v>
      </c>
      <c r="EM61" s="242" t="str">
        <f>Tabla24[[#This Row],[Columna1]]</f>
        <v>C3</v>
      </c>
      <c r="EN61" s="433" t="e">
        <f>Tabla24105711[[#This Row],[Columna3]]/7</f>
        <v>#DIV/0!</v>
      </c>
      <c r="EO61" s="433" t="e">
        <f>Tabla24105711[[#This Row],[Columna4]]/4.2</f>
        <v>#DIV/0!</v>
      </c>
      <c r="EP61" s="433" t="e">
        <f>Tabla241057[[#This Row],[Columna16]]</f>
        <v>#DIV/0!</v>
      </c>
      <c r="EQ61" s="433" t="e">
        <f>(Tabla24105711[[#This Row],[Columna4]]*EQ$56/$EH$56)*$EP$55</f>
        <v>#DIV/0!</v>
      </c>
      <c r="ER61" s="433" t="e">
        <f>(Tabla24105711[[#This Row],[Columna4]]*ER$56/$EH$56)*$EP$55</f>
        <v>#DIV/0!</v>
      </c>
      <c r="ES61" s="433" t="e">
        <f>(Tabla24105711[[#This Row],[Columna4]]*ES$56/$EH$56)*$EP$55</f>
        <v>#DIV/0!</v>
      </c>
      <c r="ET61" s="433" t="e">
        <f>(Tabla24105711[[#This Row],[Columna4]]*ET$56/$EH$56)*$EP$55</f>
        <v>#DIV/0!</v>
      </c>
      <c r="EU61" s="433" t="e">
        <f>(Tabla24105711[[#This Row],[Columna4]]*EU$56/$EH$56)*$EP$55</f>
        <v>#DIV/0!</v>
      </c>
      <c r="EV61" s="433" t="e">
        <f>(Tabla24105711[[#This Row],[Columna4]]*EV$56/$EH$56)*$EP$55</f>
        <v>#DIV/0!</v>
      </c>
      <c r="EW61" s="433" t="e">
        <f>(Tabla24105711[[#This Row],[Columna4]]*EW$56/$EH$56)*$EP$55</f>
        <v>#DIV/0!</v>
      </c>
      <c r="EX61" s="433" t="e">
        <f>(Tabla24105711[[#This Row],[Columna4]]*EX$56/$EH$56)*$EP$55</f>
        <v>#DIV/0!</v>
      </c>
      <c r="EY61" s="433" t="e">
        <f>(Tabla24105711[[#This Row],[Columna4]]*EY$56/$EH$56)*$EP$55</f>
        <v>#DIV/0!</v>
      </c>
      <c r="EZ61" s="433" t="e">
        <f>(Tabla24105711[[#This Row],[Columna4]]*EZ$56/$EH$56)*$EP$55</f>
        <v>#DIV/0!</v>
      </c>
      <c r="FA61" s="433" t="e">
        <f>(Tabla24105711[[#This Row],[Columna4]]*FA$56/$EH$56)*$EP$55</f>
        <v>#DIV/0!</v>
      </c>
      <c r="FB61" s="433" t="e">
        <f>(Tabla24105711[[#This Row],[Columna4]]*FB$56/$EH$56)*$EP$55</f>
        <v>#DIV/0!</v>
      </c>
      <c r="FD61" s="429" t="s">
        <v>79</v>
      </c>
      <c r="FE61" s="399" t="s">
        <v>76</v>
      </c>
      <c r="FF61" s="400">
        <f t="shared" si="275"/>
        <v>0</v>
      </c>
      <c r="FG61" s="400">
        <f t="shared" si="275"/>
        <v>0</v>
      </c>
      <c r="FH61" s="400">
        <f t="shared" si="275"/>
        <v>0</v>
      </c>
      <c r="FI61" s="400">
        <f t="shared" si="275"/>
        <v>0</v>
      </c>
      <c r="FJ61" s="400">
        <f t="shared" si="275"/>
        <v>0</v>
      </c>
      <c r="FK61" s="400">
        <f t="shared" si="275"/>
        <v>0</v>
      </c>
      <c r="FL61" s="400">
        <f t="shared" si="275"/>
        <v>0</v>
      </c>
      <c r="FM61" s="400">
        <f t="shared" si="275"/>
        <v>0</v>
      </c>
      <c r="FN61" s="400">
        <f t="shared" si="275"/>
        <v>0</v>
      </c>
      <c r="FO61" s="400">
        <f t="shared" si="275"/>
        <v>0</v>
      </c>
      <c r="FP61" s="400">
        <f t="shared" si="275"/>
        <v>0</v>
      </c>
      <c r="FQ61" s="400">
        <f t="shared" si="275"/>
        <v>0</v>
      </c>
      <c r="FR61" s="363">
        <f t="shared" si="197"/>
        <v>0</v>
      </c>
      <c r="FS61" s="260" t="e">
        <f t="shared" si="198"/>
        <v>#DIV/0!</v>
      </c>
      <c r="FX61" s="351"/>
      <c r="FY61" s="351"/>
      <c r="FZ61" s="351"/>
      <c r="GA61" s="351"/>
      <c r="GB61" s="351"/>
      <c r="GC61" s="351"/>
      <c r="GD61" s="351"/>
      <c r="GE61" s="351"/>
      <c r="GF61" s="351"/>
      <c r="GG61" s="351"/>
      <c r="GH61" s="351"/>
      <c r="GJ61" s="262"/>
      <c r="HD61" s="65" t="s">
        <v>536</v>
      </c>
      <c r="HE61" s="66">
        <v>0</v>
      </c>
      <c r="HF61" s="67">
        <f t="shared" si="251"/>
        <v>0</v>
      </c>
      <c r="HG61" s="68">
        <f t="shared" si="252"/>
        <v>0</v>
      </c>
      <c r="HH61" s="69">
        <v>1</v>
      </c>
      <c r="HI61" s="367">
        <v>0</v>
      </c>
      <c r="HJ61" s="143"/>
      <c r="HM61" s="283"/>
      <c r="HN61" s="432">
        <v>45078</v>
      </c>
      <c r="HO61" s="285"/>
      <c r="HP61" s="283"/>
      <c r="HQ61" s="286"/>
      <c r="HR61" s="283"/>
      <c r="HS61" s="286"/>
      <c r="HT61" s="283"/>
      <c r="HU61" s="286"/>
      <c r="HV61" s="283"/>
      <c r="HW61" s="286"/>
      <c r="HX61" s="283"/>
      <c r="HY61" s="286"/>
      <c r="HZ61" s="283"/>
      <c r="IA61" s="286"/>
      <c r="IB61" s="283"/>
      <c r="IC61" s="286"/>
      <c r="ID61" s="283"/>
      <c r="IE61" s="286"/>
      <c r="IF61" s="283"/>
      <c r="IG61" s="286"/>
      <c r="IH61" s="283"/>
      <c r="II61" s="286"/>
      <c r="IJ61" s="283"/>
      <c r="IK61" s="286"/>
      <c r="IL61" s="283"/>
      <c r="IM61" s="288"/>
    </row>
    <row r="62" spans="3:247" ht="14.4" customHeight="1" x14ac:dyDescent="0.3">
      <c r="AM62" s="348">
        <f t="shared" si="270"/>
        <v>0</v>
      </c>
      <c r="AN62" s="348">
        <f t="shared" si="271"/>
        <v>0</v>
      </c>
      <c r="AO62" s="348">
        <f t="shared" si="272"/>
        <v>0</v>
      </c>
      <c r="AP62" s="348">
        <f t="shared" si="273"/>
        <v>0</v>
      </c>
      <c r="AQ62" s="349" t="s">
        <v>775</v>
      </c>
      <c r="AR62" s="297">
        <f t="shared" si="274"/>
        <v>0</v>
      </c>
      <c r="AS62" s="350" t="e">
        <f t="shared" si="267"/>
        <v>#DIV/0!</v>
      </c>
      <c r="AT62" s="530"/>
      <c r="AU62" s="530"/>
      <c r="AV62" s="299">
        <v>0</v>
      </c>
      <c r="AW62" s="300">
        <v>0</v>
      </c>
      <c r="AX62" s="301"/>
      <c r="BH62" s="524"/>
      <c r="BI62" s="524"/>
      <c r="BJ62" s="298" t="e">
        <f>$AS$59</f>
        <v>#DIV/0!</v>
      </c>
      <c r="BK62" s="242" t="str">
        <f t="shared" si="277"/>
        <v>C4</v>
      </c>
      <c r="BL62" s="433">
        <f>Tabla24[[#This Row],[Columna3]]/7</f>
        <v>0</v>
      </c>
      <c r="BM62" s="433">
        <f>Tabla24[[#This Row],[Columna4]]/4.2</f>
        <v>0</v>
      </c>
      <c r="BN62" s="433">
        <f t="shared" si="278"/>
        <v>0</v>
      </c>
      <c r="BO62" s="433">
        <f t="shared" si="279"/>
        <v>0</v>
      </c>
      <c r="BP62" s="433">
        <f t="shared" si="280"/>
        <v>0</v>
      </c>
      <c r="BQ62" s="433">
        <f t="shared" si="281"/>
        <v>0</v>
      </c>
      <c r="BR62" s="433">
        <f t="shared" si="282"/>
        <v>0</v>
      </c>
      <c r="BS62" s="433">
        <f t="shared" si="283"/>
        <v>0</v>
      </c>
      <c r="BT62" s="433">
        <f t="shared" si="284"/>
        <v>0</v>
      </c>
      <c r="BU62" s="433">
        <f t="shared" si="285"/>
        <v>0</v>
      </c>
      <c r="BV62" s="433">
        <f t="shared" si="286"/>
        <v>0</v>
      </c>
      <c r="BW62" s="433">
        <f t="shared" si="287"/>
        <v>0</v>
      </c>
      <c r="BX62" s="433">
        <f t="shared" si="288"/>
        <v>0</v>
      </c>
      <c r="BY62" s="433">
        <f t="shared" si="289"/>
        <v>0</v>
      </c>
      <c r="BZ62" s="433">
        <f t="shared" si="290"/>
        <v>0</v>
      </c>
      <c r="CB62" s="524"/>
      <c r="CC62" s="524"/>
      <c r="CD62" s="298" t="e">
        <f>$AS$59</f>
        <v>#DIV/0!</v>
      </c>
      <c r="CE62" s="242" t="str">
        <f>Tabla24[[#This Row],[Columna1]]</f>
        <v>C4</v>
      </c>
      <c r="CF62" s="433">
        <f>Tabla2410[[#This Row],[Columna3]]/7</f>
        <v>0</v>
      </c>
      <c r="CG62" s="433">
        <f>Tabla2410[[#This Row],[Columna4]]/4.2</f>
        <v>0</v>
      </c>
      <c r="CH62" s="433">
        <f>Tabla24[[#This Row],[Columna16]]</f>
        <v>0</v>
      </c>
      <c r="CI62" s="433" t="e">
        <f>(Tabla2410[[#This Row],[Columna4]]*CI$56/$BZ$56)*$CH$55</f>
        <v>#DIV/0!</v>
      </c>
      <c r="CJ62" s="433" t="e">
        <f>(Tabla2410[[#This Row],[Columna4]]*CJ$56/$BZ$56)*$CH$55</f>
        <v>#DIV/0!</v>
      </c>
      <c r="CK62" s="433" t="e">
        <f>(Tabla2410[[#This Row],[Columna4]]*CK$56/$BZ$56)*$CH$55</f>
        <v>#DIV/0!</v>
      </c>
      <c r="CL62" s="433" t="e">
        <f>(Tabla2410[[#This Row],[Columna4]]*CL$56/$BZ$56)*$CH$55</f>
        <v>#DIV/0!</v>
      </c>
      <c r="CM62" s="433" t="e">
        <f>(Tabla2410[[#This Row],[Columna4]]*CM$56/$BZ$56)*$CH$55</f>
        <v>#DIV/0!</v>
      </c>
      <c r="CN62" s="433" t="e">
        <f>(Tabla2410[[#This Row],[Columna4]]*CN$56/$BZ$56)*$CH$55</f>
        <v>#DIV/0!</v>
      </c>
      <c r="CO62" s="433" t="e">
        <f>(Tabla2410[[#This Row],[Columna4]]*CO$56/$BZ$56)*$CH$55</f>
        <v>#DIV/0!</v>
      </c>
      <c r="CP62" s="433" t="e">
        <f>(Tabla2410[[#This Row],[Columna4]]*CP$56/$BZ$56)*$CH$55</f>
        <v>#DIV/0!</v>
      </c>
      <c r="CQ62" s="433" t="e">
        <f>(Tabla2410[[#This Row],[Columna4]]*CQ$56/$BZ$56)*$CH$55</f>
        <v>#DIV/0!</v>
      </c>
      <c r="CR62" s="433" t="e">
        <f>(Tabla2410[[#This Row],[Columna4]]*CR$56/$BZ$56)*$CH$55</f>
        <v>#DIV/0!</v>
      </c>
      <c r="CS62" s="433" t="e">
        <f>(Tabla2410[[#This Row],[Columna4]]*CS$56/$BZ$56)*$CH$55</f>
        <v>#DIV/0!</v>
      </c>
      <c r="CT62" s="433" t="e">
        <f>(Tabla2410[[#This Row],[Columna4]]*CT$56/$BZ$56)*$CH$55</f>
        <v>#DIV/0!</v>
      </c>
      <c r="CV62" s="524"/>
      <c r="CW62" s="524"/>
      <c r="CX62" s="298" t="e">
        <f>$AS$59</f>
        <v>#DIV/0!</v>
      </c>
      <c r="CY62" s="242" t="str">
        <f>Tabla24[[#This Row],[Columna1]]</f>
        <v>C4</v>
      </c>
      <c r="CZ62" s="433" t="e">
        <f>Tabla24105[[#This Row],[Columna3]]/7</f>
        <v>#DIV/0!</v>
      </c>
      <c r="DA62" s="433" t="e">
        <f>Tabla24105[[#This Row],[Columna4]]/4.2</f>
        <v>#DIV/0!</v>
      </c>
      <c r="DB62" s="433" t="e">
        <f>Tabla2410[[#This Row],[Columna16]]</f>
        <v>#DIV/0!</v>
      </c>
      <c r="DC62" s="433" t="e">
        <f>(Tabla24105[[#This Row],[Columna4]]*DC$56/$CT$56)*$DB$55</f>
        <v>#DIV/0!</v>
      </c>
      <c r="DD62" s="433" t="e">
        <f>(Tabla24105[[#This Row],[Columna4]]*DD$56/$CT$56)*$DB$55</f>
        <v>#DIV/0!</v>
      </c>
      <c r="DE62" s="433" t="e">
        <f>(Tabla24105[[#This Row],[Columna4]]*DE$56/$CT$56)*$DB$55</f>
        <v>#DIV/0!</v>
      </c>
      <c r="DF62" s="433" t="e">
        <f>(Tabla24105[[#This Row],[Columna4]]*DF$56/$CT$56)*$DB$55</f>
        <v>#DIV/0!</v>
      </c>
      <c r="DG62" s="433" t="e">
        <f>(Tabla24105[[#This Row],[Columna4]]*DG$56/$CT$56)*$DB$55</f>
        <v>#DIV/0!</v>
      </c>
      <c r="DH62" s="433" t="e">
        <f>(Tabla24105[[#This Row],[Columna4]]*DH$56/$CT$56)*$DB$55</f>
        <v>#DIV/0!</v>
      </c>
      <c r="DI62" s="433" t="e">
        <f>(Tabla24105[[#This Row],[Columna4]]*DI$56/$CT$56)*$DB$55</f>
        <v>#DIV/0!</v>
      </c>
      <c r="DJ62" s="433" t="e">
        <f>(Tabla24105[[#This Row],[Columna4]]*DJ$56/$CT$56)*$DB$55</f>
        <v>#DIV/0!</v>
      </c>
      <c r="DK62" s="433" t="e">
        <f>(Tabla24105[[#This Row],[Columna4]]*DK$56/$CT$56)*$DB$55</f>
        <v>#DIV/0!</v>
      </c>
      <c r="DL62" s="433" t="e">
        <f>(Tabla24105[[#This Row],[Columna4]]*DL$56/$CT$56)*$DB$55</f>
        <v>#DIV/0!</v>
      </c>
      <c r="DM62" s="433" t="e">
        <f>(Tabla24105[[#This Row],[Columna4]]*DM$56/$CT$56)*$DB$55</f>
        <v>#DIV/0!</v>
      </c>
      <c r="DN62" s="433" t="e">
        <f>(Tabla24105[[#This Row],[Columna4]]*DN$56/$CT$56)*$DB$55</f>
        <v>#DIV/0!</v>
      </c>
      <c r="DP62" s="524"/>
      <c r="DQ62" s="524"/>
      <c r="DR62" s="298" t="e">
        <f>$AS$59</f>
        <v>#DIV/0!</v>
      </c>
      <c r="DS62" s="242" t="str">
        <f>Tabla24[[#This Row],[Columna1]]</f>
        <v>C4</v>
      </c>
      <c r="DT62" s="433" t="e">
        <f>Tabla241057[[#This Row],[Columna3]]/7</f>
        <v>#DIV/0!</v>
      </c>
      <c r="DU62" s="433" t="e">
        <f>Tabla241057[[#This Row],[Columna4]]/4.2</f>
        <v>#DIV/0!</v>
      </c>
      <c r="DV62" s="433" t="e">
        <f>Tabla24105[[#This Row],[Columna16]]</f>
        <v>#DIV/0!</v>
      </c>
      <c r="DW62" s="433" t="e">
        <f>(Tabla241057[[#This Row],[Columna4]]*DW$56/$DN$56)*$DV$55</f>
        <v>#DIV/0!</v>
      </c>
      <c r="DX62" s="433" t="e">
        <f>(Tabla241057[[#This Row],[Columna4]]*DX$56/$DN$56)*$DV$55</f>
        <v>#DIV/0!</v>
      </c>
      <c r="DY62" s="433" t="e">
        <f>(Tabla241057[[#This Row],[Columna4]]*DY$56/$DN$56)*$DV$55</f>
        <v>#DIV/0!</v>
      </c>
      <c r="DZ62" s="433" t="e">
        <f>(Tabla241057[[#This Row],[Columna4]]*DZ$56/$DN$56)*$DV$55</f>
        <v>#DIV/0!</v>
      </c>
      <c r="EA62" s="433" t="e">
        <f>(Tabla241057[[#This Row],[Columna4]]*EA$56/$DN$56)*$DV$55</f>
        <v>#DIV/0!</v>
      </c>
      <c r="EB62" s="433" t="e">
        <f>(Tabla241057[[#This Row],[Columna4]]*EB$56/$DN$56)*$DV$55</f>
        <v>#DIV/0!</v>
      </c>
      <c r="EC62" s="433" t="e">
        <f>(Tabla241057[[#This Row],[Columna4]]*EC$56/$DN$56)*$DV$55</f>
        <v>#DIV/0!</v>
      </c>
      <c r="ED62" s="433" t="e">
        <f>(Tabla241057[[#This Row],[Columna4]]*ED$56/$DN$56)*$DV$55</f>
        <v>#DIV/0!</v>
      </c>
      <c r="EE62" s="433" t="e">
        <f>(Tabla241057[[#This Row],[Columna4]]*EE$56/$DN$56)*$DV$55</f>
        <v>#DIV/0!</v>
      </c>
      <c r="EF62" s="433" t="e">
        <f>(Tabla241057[[#This Row],[Columna4]]*EF$56/$DN$56)*$DV$55</f>
        <v>#DIV/0!</v>
      </c>
      <c r="EG62" s="433" t="e">
        <f>(Tabla241057[[#This Row],[Columna4]]*EG$56/$DN$56)*$DV$55</f>
        <v>#DIV/0!</v>
      </c>
      <c r="EH62" s="433" t="e">
        <f>(Tabla241057[[#This Row],[Columna4]]*EH$56/$DN$56)*$DV$55</f>
        <v>#DIV/0!</v>
      </c>
      <c r="EJ62" s="524"/>
      <c r="EK62" s="524"/>
      <c r="EL62" s="298" t="e">
        <f>$AS$59</f>
        <v>#DIV/0!</v>
      </c>
      <c r="EM62" s="242" t="str">
        <f>Tabla24[[#This Row],[Columna1]]</f>
        <v>C4</v>
      </c>
      <c r="EN62" s="433" t="e">
        <f>Tabla24105711[[#This Row],[Columna3]]/7</f>
        <v>#DIV/0!</v>
      </c>
      <c r="EO62" s="433" t="e">
        <f>Tabla24105711[[#This Row],[Columna4]]/4.2</f>
        <v>#DIV/0!</v>
      </c>
      <c r="EP62" s="433" t="e">
        <f>Tabla241057[[#This Row],[Columna16]]</f>
        <v>#DIV/0!</v>
      </c>
      <c r="EQ62" s="433" t="e">
        <f>(Tabla24105711[[#This Row],[Columna4]]*EQ$56/$EH$56)*$EP$55</f>
        <v>#DIV/0!</v>
      </c>
      <c r="ER62" s="433" t="e">
        <f>(Tabla24105711[[#This Row],[Columna4]]*ER$56/$EH$56)*$EP$55</f>
        <v>#DIV/0!</v>
      </c>
      <c r="ES62" s="433" t="e">
        <f>(Tabla24105711[[#This Row],[Columna4]]*ES$56/$EH$56)*$EP$55</f>
        <v>#DIV/0!</v>
      </c>
      <c r="ET62" s="433" t="e">
        <f>(Tabla24105711[[#This Row],[Columna4]]*ET$56/$EH$56)*$EP$55</f>
        <v>#DIV/0!</v>
      </c>
      <c r="EU62" s="433" t="e">
        <f>(Tabla24105711[[#This Row],[Columna4]]*EU$56/$EH$56)*$EP$55</f>
        <v>#DIV/0!</v>
      </c>
      <c r="EV62" s="433" t="e">
        <f>(Tabla24105711[[#This Row],[Columna4]]*EV$56/$EH$56)*$EP$55</f>
        <v>#DIV/0!</v>
      </c>
      <c r="EW62" s="433" t="e">
        <f>(Tabla24105711[[#This Row],[Columna4]]*EW$56/$EH$56)*$EP$55</f>
        <v>#DIV/0!</v>
      </c>
      <c r="EX62" s="433" t="e">
        <f>(Tabla24105711[[#This Row],[Columna4]]*EX$56/$EH$56)*$EP$55</f>
        <v>#DIV/0!</v>
      </c>
      <c r="EY62" s="433" t="e">
        <f>(Tabla24105711[[#This Row],[Columna4]]*EY$56/$EH$56)*$EP$55</f>
        <v>#DIV/0!</v>
      </c>
      <c r="EZ62" s="433" t="e">
        <f>(Tabla24105711[[#This Row],[Columna4]]*EZ$56/$EH$56)*$EP$55</f>
        <v>#DIV/0!</v>
      </c>
      <c r="FA62" s="433" t="e">
        <f>(Tabla24105711[[#This Row],[Columna4]]*FA$56/$EH$56)*$EP$55</f>
        <v>#DIV/0!</v>
      </c>
      <c r="FB62" s="433" t="e">
        <f>(Tabla24105711[[#This Row],[Columna4]]*FB$56/$EH$56)*$EP$55</f>
        <v>#DIV/0!</v>
      </c>
      <c r="FD62" s="397" t="s">
        <v>81</v>
      </c>
      <c r="FE62" s="399" t="s">
        <v>78</v>
      </c>
      <c r="FF62" s="400">
        <f t="shared" si="275"/>
        <v>0</v>
      </c>
      <c r="FG62" s="400">
        <f t="shared" si="275"/>
        <v>0</v>
      </c>
      <c r="FH62" s="400">
        <f t="shared" si="275"/>
        <v>0</v>
      </c>
      <c r="FI62" s="400">
        <f t="shared" si="275"/>
        <v>0</v>
      </c>
      <c r="FJ62" s="400">
        <f t="shared" si="275"/>
        <v>0</v>
      </c>
      <c r="FK62" s="400">
        <f t="shared" si="275"/>
        <v>0</v>
      </c>
      <c r="FL62" s="400">
        <f t="shared" si="275"/>
        <v>0</v>
      </c>
      <c r="FM62" s="400">
        <f t="shared" si="275"/>
        <v>0</v>
      </c>
      <c r="FN62" s="400">
        <f t="shared" si="275"/>
        <v>0</v>
      </c>
      <c r="FO62" s="400">
        <f t="shared" si="275"/>
        <v>0</v>
      </c>
      <c r="FP62" s="400">
        <f t="shared" si="275"/>
        <v>0</v>
      </c>
      <c r="FQ62" s="400">
        <f t="shared" si="275"/>
        <v>0</v>
      </c>
      <c r="FR62" s="363">
        <f t="shared" si="197"/>
        <v>0</v>
      </c>
      <c r="FS62" s="260" t="e">
        <f t="shared" si="198"/>
        <v>#DIV/0!</v>
      </c>
      <c r="FX62" s="351"/>
      <c r="FY62" s="351"/>
      <c r="FZ62" s="351"/>
      <c r="GA62" s="351"/>
      <c r="GB62" s="351"/>
      <c r="GC62" s="351"/>
      <c r="GD62" s="351"/>
      <c r="GE62" s="351"/>
      <c r="GF62" s="351"/>
      <c r="GG62" s="351"/>
      <c r="GH62" s="351"/>
      <c r="GJ62" s="262"/>
      <c r="HD62" s="65" t="s">
        <v>537</v>
      </c>
      <c r="HE62" s="66">
        <v>0</v>
      </c>
      <c r="HF62" s="67">
        <f t="shared" si="251"/>
        <v>0</v>
      </c>
      <c r="HG62" s="68">
        <f t="shared" si="252"/>
        <v>0</v>
      </c>
      <c r="HH62" s="69">
        <v>1</v>
      </c>
      <c r="HI62" s="367">
        <v>0</v>
      </c>
      <c r="HJ62" s="143"/>
      <c r="HM62" s="283"/>
      <c r="HN62" s="432">
        <v>45108</v>
      </c>
      <c r="HO62" s="285"/>
      <c r="HP62" s="283"/>
      <c r="HQ62" s="286"/>
      <c r="HR62" s="283"/>
      <c r="HS62" s="286"/>
      <c r="HT62" s="283"/>
      <c r="HU62" s="286"/>
      <c r="HV62" s="283"/>
      <c r="HW62" s="286"/>
      <c r="HX62" s="283"/>
      <c r="HY62" s="286"/>
      <c r="HZ62" s="283"/>
      <c r="IA62" s="286"/>
      <c r="IB62" s="283"/>
      <c r="IC62" s="286"/>
      <c r="ID62" s="283"/>
      <c r="IE62" s="286"/>
      <c r="IF62" s="283"/>
      <c r="IG62" s="286"/>
      <c r="IH62" s="283"/>
      <c r="II62" s="286"/>
      <c r="IJ62" s="283"/>
      <c r="IK62" s="286"/>
      <c r="IL62" s="283"/>
      <c r="IM62" s="288"/>
    </row>
    <row r="63" spans="3:247" ht="14.4" customHeight="1" x14ac:dyDescent="0.3">
      <c r="AM63" s="348">
        <f t="shared" si="270"/>
        <v>0</v>
      </c>
      <c r="AN63" s="348">
        <f t="shared" si="271"/>
        <v>0</v>
      </c>
      <c r="AO63" s="348">
        <f t="shared" si="272"/>
        <v>0</v>
      </c>
      <c r="AP63" s="348">
        <f t="shared" si="273"/>
        <v>0</v>
      </c>
      <c r="AQ63" s="349" t="s">
        <v>776</v>
      </c>
      <c r="AR63" s="297">
        <f t="shared" si="274"/>
        <v>0</v>
      </c>
      <c r="AS63" s="350" t="e">
        <f t="shared" si="267"/>
        <v>#DIV/0!</v>
      </c>
      <c r="AT63" s="530"/>
      <c r="AU63" s="530"/>
      <c r="AV63" s="299">
        <v>0</v>
      </c>
      <c r="AW63" s="300">
        <v>0</v>
      </c>
      <c r="AX63" s="301"/>
      <c r="BH63" s="524"/>
      <c r="BI63" s="524"/>
      <c r="BJ63" s="298" t="e">
        <f>$AS$60</f>
        <v>#DIV/0!</v>
      </c>
      <c r="BK63" s="242" t="str">
        <f t="shared" si="277"/>
        <v>C5</v>
      </c>
      <c r="BL63" s="433">
        <f>Tabla24[[#This Row],[Columna3]]/7</f>
        <v>0</v>
      </c>
      <c r="BM63" s="433">
        <f>Tabla24[[#This Row],[Columna4]]/4.2</f>
        <v>0</v>
      </c>
      <c r="BN63" s="433">
        <f t="shared" si="278"/>
        <v>0</v>
      </c>
      <c r="BO63" s="433">
        <f t="shared" si="279"/>
        <v>0</v>
      </c>
      <c r="BP63" s="433">
        <f t="shared" si="280"/>
        <v>0</v>
      </c>
      <c r="BQ63" s="433">
        <f t="shared" si="281"/>
        <v>0</v>
      </c>
      <c r="BR63" s="433">
        <f t="shared" si="282"/>
        <v>0</v>
      </c>
      <c r="BS63" s="433">
        <f t="shared" si="283"/>
        <v>0</v>
      </c>
      <c r="BT63" s="433">
        <f t="shared" si="284"/>
        <v>0</v>
      </c>
      <c r="BU63" s="433">
        <f t="shared" si="285"/>
        <v>0</v>
      </c>
      <c r="BV63" s="433">
        <f t="shared" si="286"/>
        <v>0</v>
      </c>
      <c r="BW63" s="433">
        <f t="shared" si="287"/>
        <v>0</v>
      </c>
      <c r="BX63" s="433">
        <f t="shared" si="288"/>
        <v>0</v>
      </c>
      <c r="BY63" s="433">
        <f t="shared" si="289"/>
        <v>0</v>
      </c>
      <c r="BZ63" s="433">
        <f t="shared" si="290"/>
        <v>0</v>
      </c>
      <c r="CB63" s="524"/>
      <c r="CC63" s="524"/>
      <c r="CD63" s="298" t="e">
        <f>$AS$60</f>
        <v>#DIV/0!</v>
      </c>
      <c r="CE63" s="242" t="str">
        <f>Tabla24[[#This Row],[Columna1]]</f>
        <v>C5</v>
      </c>
      <c r="CF63" s="433">
        <f>Tabla2410[[#This Row],[Columna3]]/7</f>
        <v>0</v>
      </c>
      <c r="CG63" s="433">
        <f>Tabla2410[[#This Row],[Columna4]]/4.2</f>
        <v>0</v>
      </c>
      <c r="CH63" s="433">
        <f>Tabla24[[#This Row],[Columna16]]</f>
        <v>0</v>
      </c>
      <c r="CI63" s="433" t="e">
        <f>(Tabla2410[[#This Row],[Columna4]]*CI$56/$BZ$56)*$CH$55</f>
        <v>#DIV/0!</v>
      </c>
      <c r="CJ63" s="433" t="e">
        <f>(Tabla2410[[#This Row],[Columna4]]*CJ$56/$BZ$56)*$CH$55</f>
        <v>#DIV/0!</v>
      </c>
      <c r="CK63" s="433" t="e">
        <f>(Tabla2410[[#This Row],[Columna4]]*CK$56/$BZ$56)*$CH$55</f>
        <v>#DIV/0!</v>
      </c>
      <c r="CL63" s="433" t="e">
        <f>(Tabla2410[[#This Row],[Columna4]]*CL$56/$BZ$56)*$CH$55</f>
        <v>#DIV/0!</v>
      </c>
      <c r="CM63" s="433" t="e">
        <f>(Tabla2410[[#This Row],[Columna4]]*CM$56/$BZ$56)*$CH$55</f>
        <v>#DIV/0!</v>
      </c>
      <c r="CN63" s="433" t="e">
        <f>(Tabla2410[[#This Row],[Columna4]]*CN$56/$BZ$56)*$CH$55</f>
        <v>#DIV/0!</v>
      </c>
      <c r="CO63" s="433" t="e">
        <f>(Tabla2410[[#This Row],[Columna4]]*CO$56/$BZ$56)*$CH$55</f>
        <v>#DIV/0!</v>
      </c>
      <c r="CP63" s="433" t="e">
        <f>(Tabla2410[[#This Row],[Columna4]]*CP$56/$BZ$56)*$CH$55</f>
        <v>#DIV/0!</v>
      </c>
      <c r="CQ63" s="433" t="e">
        <f>(Tabla2410[[#This Row],[Columna4]]*CQ$56/$BZ$56)*$CH$55</f>
        <v>#DIV/0!</v>
      </c>
      <c r="CR63" s="433" t="e">
        <f>(Tabla2410[[#This Row],[Columna4]]*CR$56/$BZ$56)*$CH$55</f>
        <v>#DIV/0!</v>
      </c>
      <c r="CS63" s="433" t="e">
        <f>(Tabla2410[[#This Row],[Columna4]]*CS$56/$BZ$56)*$CH$55</f>
        <v>#DIV/0!</v>
      </c>
      <c r="CT63" s="433" t="e">
        <f>(Tabla2410[[#This Row],[Columna4]]*CT$56/$BZ$56)*$CH$55</f>
        <v>#DIV/0!</v>
      </c>
      <c r="CV63" s="524"/>
      <c r="CW63" s="524"/>
      <c r="CX63" s="298" t="e">
        <f>$AS$60</f>
        <v>#DIV/0!</v>
      </c>
      <c r="CY63" s="242" t="str">
        <f>Tabla24[[#This Row],[Columna1]]</f>
        <v>C5</v>
      </c>
      <c r="CZ63" s="433" t="e">
        <f>Tabla24105[[#This Row],[Columna3]]/7</f>
        <v>#DIV/0!</v>
      </c>
      <c r="DA63" s="433" t="e">
        <f>Tabla24105[[#This Row],[Columna4]]/4.2</f>
        <v>#DIV/0!</v>
      </c>
      <c r="DB63" s="433" t="e">
        <f>Tabla2410[[#This Row],[Columna16]]</f>
        <v>#DIV/0!</v>
      </c>
      <c r="DC63" s="433" t="e">
        <f>(Tabla24105[[#This Row],[Columna4]]*DC$56/$CT$56)*$DB$55</f>
        <v>#DIV/0!</v>
      </c>
      <c r="DD63" s="433" t="e">
        <f>(Tabla24105[[#This Row],[Columna4]]*DD$56/$CT$56)*$DB$55</f>
        <v>#DIV/0!</v>
      </c>
      <c r="DE63" s="433" t="e">
        <f>(Tabla24105[[#This Row],[Columna4]]*DE$56/$CT$56)*$DB$55</f>
        <v>#DIV/0!</v>
      </c>
      <c r="DF63" s="433" t="e">
        <f>(Tabla24105[[#This Row],[Columna4]]*DF$56/$CT$56)*$DB$55</f>
        <v>#DIV/0!</v>
      </c>
      <c r="DG63" s="433" t="e">
        <f>(Tabla24105[[#This Row],[Columna4]]*DG$56/$CT$56)*$DB$55</f>
        <v>#DIV/0!</v>
      </c>
      <c r="DH63" s="433" t="e">
        <f>(Tabla24105[[#This Row],[Columna4]]*DH$56/$CT$56)*$DB$55</f>
        <v>#DIV/0!</v>
      </c>
      <c r="DI63" s="433" t="e">
        <f>(Tabla24105[[#This Row],[Columna4]]*DI$56/$CT$56)*$DB$55</f>
        <v>#DIV/0!</v>
      </c>
      <c r="DJ63" s="433" t="e">
        <f>(Tabla24105[[#This Row],[Columna4]]*DJ$56/$CT$56)*$DB$55</f>
        <v>#DIV/0!</v>
      </c>
      <c r="DK63" s="433" t="e">
        <f>(Tabla24105[[#This Row],[Columna4]]*DK$56/$CT$56)*$DB$55</f>
        <v>#DIV/0!</v>
      </c>
      <c r="DL63" s="433" t="e">
        <f>(Tabla24105[[#This Row],[Columna4]]*DL$56/$CT$56)*$DB$55</f>
        <v>#DIV/0!</v>
      </c>
      <c r="DM63" s="433" t="e">
        <f>(Tabla24105[[#This Row],[Columna4]]*DM$56/$CT$56)*$DB$55</f>
        <v>#DIV/0!</v>
      </c>
      <c r="DN63" s="433" t="e">
        <f>(Tabla24105[[#This Row],[Columna4]]*DN$56/$CT$56)*$DB$55</f>
        <v>#DIV/0!</v>
      </c>
      <c r="DP63" s="524"/>
      <c r="DQ63" s="524"/>
      <c r="DR63" s="298" t="e">
        <f>$AS$60</f>
        <v>#DIV/0!</v>
      </c>
      <c r="DS63" s="242" t="str">
        <f>Tabla24[[#This Row],[Columna1]]</f>
        <v>C5</v>
      </c>
      <c r="DT63" s="433" t="e">
        <f>Tabla241057[[#This Row],[Columna3]]/7</f>
        <v>#DIV/0!</v>
      </c>
      <c r="DU63" s="433" t="e">
        <f>Tabla241057[[#This Row],[Columna4]]/4.2</f>
        <v>#DIV/0!</v>
      </c>
      <c r="DV63" s="433" t="e">
        <f>Tabla24105[[#This Row],[Columna16]]</f>
        <v>#DIV/0!</v>
      </c>
      <c r="DW63" s="433" t="e">
        <f>(Tabla241057[[#This Row],[Columna4]]*DW$56/$DN$56)*$DV$55</f>
        <v>#DIV/0!</v>
      </c>
      <c r="DX63" s="433" t="e">
        <f>(Tabla241057[[#This Row],[Columna4]]*DX$56/$DN$56)*$DV$55</f>
        <v>#DIV/0!</v>
      </c>
      <c r="DY63" s="433" t="e">
        <f>(Tabla241057[[#This Row],[Columna4]]*DY$56/$DN$56)*$DV$55</f>
        <v>#DIV/0!</v>
      </c>
      <c r="DZ63" s="433" t="e">
        <f>(Tabla241057[[#This Row],[Columna4]]*DZ$56/$DN$56)*$DV$55</f>
        <v>#DIV/0!</v>
      </c>
      <c r="EA63" s="433" t="e">
        <f>(Tabla241057[[#This Row],[Columna4]]*EA$56/$DN$56)*$DV$55</f>
        <v>#DIV/0!</v>
      </c>
      <c r="EB63" s="433" t="e">
        <f>(Tabla241057[[#This Row],[Columna4]]*EB$56/$DN$56)*$DV$55</f>
        <v>#DIV/0!</v>
      </c>
      <c r="EC63" s="433" t="e">
        <f>(Tabla241057[[#This Row],[Columna4]]*EC$56/$DN$56)*$DV$55</f>
        <v>#DIV/0!</v>
      </c>
      <c r="ED63" s="433" t="e">
        <f>(Tabla241057[[#This Row],[Columna4]]*ED$56/$DN$56)*$DV$55</f>
        <v>#DIV/0!</v>
      </c>
      <c r="EE63" s="433" t="e">
        <f>(Tabla241057[[#This Row],[Columna4]]*EE$56/$DN$56)*$DV$55</f>
        <v>#DIV/0!</v>
      </c>
      <c r="EF63" s="433" t="e">
        <f>(Tabla241057[[#This Row],[Columna4]]*EF$56/$DN$56)*$DV$55</f>
        <v>#DIV/0!</v>
      </c>
      <c r="EG63" s="433" t="e">
        <f>(Tabla241057[[#This Row],[Columna4]]*EG$56/$DN$56)*$DV$55</f>
        <v>#DIV/0!</v>
      </c>
      <c r="EH63" s="433" t="e">
        <f>(Tabla241057[[#This Row],[Columna4]]*EH$56/$DN$56)*$DV$55</f>
        <v>#DIV/0!</v>
      </c>
      <c r="EJ63" s="524"/>
      <c r="EK63" s="524"/>
      <c r="EL63" s="298" t="e">
        <f>$AS$60</f>
        <v>#DIV/0!</v>
      </c>
      <c r="EM63" s="242" t="str">
        <f>Tabla24[[#This Row],[Columna1]]</f>
        <v>C5</v>
      </c>
      <c r="EN63" s="433" t="e">
        <f>Tabla24105711[[#This Row],[Columna3]]/7</f>
        <v>#DIV/0!</v>
      </c>
      <c r="EO63" s="433" t="e">
        <f>Tabla24105711[[#This Row],[Columna4]]/4.2</f>
        <v>#DIV/0!</v>
      </c>
      <c r="EP63" s="433" t="e">
        <f>Tabla241057[[#This Row],[Columna16]]</f>
        <v>#DIV/0!</v>
      </c>
      <c r="EQ63" s="433" t="e">
        <f>(Tabla24105711[[#This Row],[Columna4]]*EQ$56/$EH$56)*$EP$55</f>
        <v>#DIV/0!</v>
      </c>
      <c r="ER63" s="433" t="e">
        <f>(Tabla24105711[[#This Row],[Columna4]]*ER$56/$EH$56)*$EP$55</f>
        <v>#DIV/0!</v>
      </c>
      <c r="ES63" s="433" t="e">
        <f>(Tabla24105711[[#This Row],[Columna4]]*ES$56/$EH$56)*$EP$55</f>
        <v>#DIV/0!</v>
      </c>
      <c r="ET63" s="433" t="e">
        <f>(Tabla24105711[[#This Row],[Columna4]]*ET$56/$EH$56)*$EP$55</f>
        <v>#DIV/0!</v>
      </c>
      <c r="EU63" s="433" t="e">
        <f>(Tabla24105711[[#This Row],[Columna4]]*EU$56/$EH$56)*$EP$55</f>
        <v>#DIV/0!</v>
      </c>
      <c r="EV63" s="433" t="e">
        <f>(Tabla24105711[[#This Row],[Columna4]]*EV$56/$EH$56)*$EP$55</f>
        <v>#DIV/0!</v>
      </c>
      <c r="EW63" s="433" t="e">
        <f>(Tabla24105711[[#This Row],[Columna4]]*EW$56/$EH$56)*$EP$55</f>
        <v>#DIV/0!</v>
      </c>
      <c r="EX63" s="433" t="e">
        <f>(Tabla24105711[[#This Row],[Columna4]]*EX$56/$EH$56)*$EP$55</f>
        <v>#DIV/0!</v>
      </c>
      <c r="EY63" s="433" t="e">
        <f>(Tabla24105711[[#This Row],[Columna4]]*EY$56/$EH$56)*$EP$55</f>
        <v>#DIV/0!</v>
      </c>
      <c r="EZ63" s="433" t="e">
        <f>(Tabla24105711[[#This Row],[Columna4]]*EZ$56/$EH$56)*$EP$55</f>
        <v>#DIV/0!</v>
      </c>
      <c r="FA63" s="433" t="e">
        <f>(Tabla24105711[[#This Row],[Columna4]]*FA$56/$EH$56)*$EP$55</f>
        <v>#DIV/0!</v>
      </c>
      <c r="FB63" s="433" t="e">
        <f>(Tabla24105711[[#This Row],[Columna4]]*FB$56/$EH$56)*$EP$55</f>
        <v>#DIV/0!</v>
      </c>
      <c r="FD63" s="397" t="s">
        <v>83</v>
      </c>
      <c r="FE63" s="357" t="s">
        <v>80</v>
      </c>
      <c r="FF63" s="325">
        <f t="shared" ref="FF63:FQ63" si="292">SUM(FF64:FF79)</f>
        <v>0</v>
      </c>
      <c r="FG63" s="325">
        <f t="shared" si="292"/>
        <v>0</v>
      </c>
      <c r="FH63" s="325">
        <f t="shared" si="292"/>
        <v>0</v>
      </c>
      <c r="FI63" s="325">
        <f t="shared" si="292"/>
        <v>0</v>
      </c>
      <c r="FJ63" s="325">
        <f t="shared" si="292"/>
        <v>0</v>
      </c>
      <c r="FK63" s="325">
        <f t="shared" si="292"/>
        <v>0</v>
      </c>
      <c r="FL63" s="325">
        <f t="shared" si="292"/>
        <v>0</v>
      </c>
      <c r="FM63" s="325">
        <f t="shared" si="292"/>
        <v>0</v>
      </c>
      <c r="FN63" s="325">
        <f t="shared" si="292"/>
        <v>0</v>
      </c>
      <c r="FO63" s="325">
        <f t="shared" si="292"/>
        <v>0</v>
      </c>
      <c r="FP63" s="325">
        <f t="shared" si="292"/>
        <v>0</v>
      </c>
      <c r="FQ63" s="325">
        <f t="shared" si="292"/>
        <v>0</v>
      </c>
      <c r="FR63" s="309">
        <f t="shared" si="197"/>
        <v>0</v>
      </c>
      <c r="FS63" s="260" t="e">
        <f t="shared" si="198"/>
        <v>#DIV/0!</v>
      </c>
      <c r="GC63" s="245" t="s">
        <v>434</v>
      </c>
      <c r="GD63" s="246">
        <v>0</v>
      </c>
      <c r="GE63" s="247" t="str">
        <f>IF(GD63=0%,"No Calculado","Ajustado")</f>
        <v>No Calculado</v>
      </c>
      <c r="GF63" s="248"/>
      <c r="GG63" s="245" t="s">
        <v>430</v>
      </c>
      <c r="GH63" s="246">
        <v>0</v>
      </c>
      <c r="GI63" s="247" t="str">
        <f>IF(GH63=0%,"No Calculado","Ajustado")</f>
        <v>No Calculado</v>
      </c>
      <c r="HD63" s="65" t="s">
        <v>538</v>
      </c>
      <c r="HE63" s="66">
        <v>0</v>
      </c>
      <c r="HF63" s="67">
        <f t="shared" si="251"/>
        <v>0</v>
      </c>
      <c r="HG63" s="68">
        <f t="shared" si="252"/>
        <v>0</v>
      </c>
      <c r="HH63" s="69">
        <v>1</v>
      </c>
      <c r="HI63" s="367">
        <v>0</v>
      </c>
      <c r="HJ63" s="143"/>
      <c r="HM63" s="283"/>
      <c r="HN63" s="432">
        <v>45139</v>
      </c>
      <c r="HO63" s="285"/>
      <c r="HP63" s="283"/>
      <c r="HQ63" s="286"/>
      <c r="HR63" s="283"/>
      <c r="HS63" s="286"/>
      <c r="HT63" s="283"/>
      <c r="HU63" s="286"/>
      <c r="HV63" s="283"/>
      <c r="HW63" s="286"/>
      <c r="HX63" s="283"/>
      <c r="HY63" s="286"/>
      <c r="HZ63" s="283"/>
      <c r="IA63" s="286"/>
      <c r="IB63" s="283"/>
      <c r="IC63" s="286"/>
      <c r="ID63" s="283"/>
      <c r="IE63" s="286"/>
      <c r="IF63" s="283"/>
      <c r="IG63" s="286"/>
      <c r="IH63" s="283"/>
      <c r="II63" s="286"/>
      <c r="IJ63" s="283"/>
      <c r="IK63" s="286"/>
      <c r="IL63" s="283"/>
      <c r="IM63" s="288"/>
    </row>
    <row r="64" spans="3:247" ht="14.4" customHeight="1" x14ac:dyDescent="0.3">
      <c r="AM64" s="368">
        <f t="shared" si="270"/>
        <v>0</v>
      </c>
      <c r="AN64" s="368">
        <f t="shared" si="271"/>
        <v>0</v>
      </c>
      <c r="AO64" s="368">
        <f t="shared" si="272"/>
        <v>0</v>
      </c>
      <c r="AP64" s="368">
        <f t="shared" si="273"/>
        <v>0</v>
      </c>
      <c r="AQ64" s="369" t="s">
        <v>777</v>
      </c>
      <c r="AR64" s="297">
        <f t="shared" si="274"/>
        <v>0</v>
      </c>
      <c r="AS64" s="370" t="e">
        <f t="shared" si="267"/>
        <v>#DIV/0!</v>
      </c>
      <c r="AT64" s="525" t="e">
        <f>SUM(AS64:AS72)</f>
        <v>#DIV/0!</v>
      </c>
      <c r="AU64" s="525" t="s">
        <v>307</v>
      </c>
      <c r="AV64" s="299">
        <v>0</v>
      </c>
      <c r="AW64" s="300">
        <v>0</v>
      </c>
      <c r="AX64" s="301"/>
      <c r="BH64" s="530" t="s">
        <v>306</v>
      </c>
      <c r="BI64" s="530" t="e">
        <f>SUM(BJ64:BJ66)</f>
        <v>#DIV/0!</v>
      </c>
      <c r="BJ64" s="350" t="e">
        <f>$AS$61</f>
        <v>#DIV/0!</v>
      </c>
      <c r="BK64" s="242" t="str">
        <f t="shared" si="277"/>
        <v>C6</v>
      </c>
      <c r="BL64" s="433">
        <f>Tabla24[[#This Row],[Columna3]]/7</f>
        <v>0</v>
      </c>
      <c r="BM64" s="433">
        <f>Tabla24[[#This Row],[Columna4]]/4.2</f>
        <v>0</v>
      </c>
      <c r="BN64" s="433">
        <f t="shared" si="278"/>
        <v>0</v>
      </c>
      <c r="BO64" s="433">
        <f t="shared" si="279"/>
        <v>0</v>
      </c>
      <c r="BP64" s="433">
        <f t="shared" si="280"/>
        <v>0</v>
      </c>
      <c r="BQ64" s="433">
        <f t="shared" si="281"/>
        <v>0</v>
      </c>
      <c r="BR64" s="433">
        <f t="shared" si="282"/>
        <v>0</v>
      </c>
      <c r="BS64" s="433">
        <f t="shared" si="283"/>
        <v>0</v>
      </c>
      <c r="BT64" s="433">
        <f t="shared" si="284"/>
        <v>0</v>
      </c>
      <c r="BU64" s="433">
        <f t="shared" si="285"/>
        <v>0</v>
      </c>
      <c r="BV64" s="433">
        <f t="shared" si="286"/>
        <v>0</v>
      </c>
      <c r="BW64" s="433">
        <f t="shared" si="287"/>
        <v>0</v>
      </c>
      <c r="BX64" s="433">
        <f t="shared" si="288"/>
        <v>0</v>
      </c>
      <c r="BY64" s="433">
        <f t="shared" si="289"/>
        <v>0</v>
      </c>
      <c r="BZ64" s="433">
        <f t="shared" si="290"/>
        <v>0</v>
      </c>
      <c r="CB64" s="530" t="s">
        <v>306</v>
      </c>
      <c r="CC64" s="530" t="e">
        <f>SUM(CD64:CD66)</f>
        <v>#DIV/0!</v>
      </c>
      <c r="CD64" s="350" t="e">
        <f>$AS$61</f>
        <v>#DIV/0!</v>
      </c>
      <c r="CE64" s="242" t="str">
        <f>Tabla24[[#This Row],[Columna1]]</f>
        <v>C6</v>
      </c>
      <c r="CF64" s="433">
        <f>Tabla2410[[#This Row],[Columna3]]/7</f>
        <v>0</v>
      </c>
      <c r="CG64" s="433">
        <f>Tabla2410[[#This Row],[Columna4]]/4.2</f>
        <v>0</v>
      </c>
      <c r="CH64" s="433">
        <f>Tabla24[[#This Row],[Columna16]]</f>
        <v>0</v>
      </c>
      <c r="CI64" s="433" t="e">
        <f>(Tabla2410[[#This Row],[Columna4]]*CI$56/$BZ$56)*$CH$55</f>
        <v>#DIV/0!</v>
      </c>
      <c r="CJ64" s="433" t="e">
        <f>(Tabla2410[[#This Row],[Columna4]]*CJ$56/$BZ$56)*$CH$55</f>
        <v>#DIV/0!</v>
      </c>
      <c r="CK64" s="433" t="e">
        <f>(Tabla2410[[#This Row],[Columna4]]*CK$56/$BZ$56)*$CH$55</f>
        <v>#DIV/0!</v>
      </c>
      <c r="CL64" s="433" t="e">
        <f>(Tabla2410[[#This Row],[Columna4]]*CL$56/$BZ$56)*$CH$55</f>
        <v>#DIV/0!</v>
      </c>
      <c r="CM64" s="433" t="e">
        <f>(Tabla2410[[#This Row],[Columna4]]*CM$56/$BZ$56)*$CH$55</f>
        <v>#DIV/0!</v>
      </c>
      <c r="CN64" s="433" t="e">
        <f>(Tabla2410[[#This Row],[Columna4]]*CN$56/$BZ$56)*$CH$55</f>
        <v>#DIV/0!</v>
      </c>
      <c r="CO64" s="433" t="e">
        <f>(Tabla2410[[#This Row],[Columna4]]*CO$56/$BZ$56)*$CH$55</f>
        <v>#DIV/0!</v>
      </c>
      <c r="CP64" s="433" t="e">
        <f>(Tabla2410[[#This Row],[Columna4]]*CP$56/$BZ$56)*$CH$55</f>
        <v>#DIV/0!</v>
      </c>
      <c r="CQ64" s="433" t="e">
        <f>(Tabla2410[[#This Row],[Columna4]]*CQ$56/$BZ$56)*$CH$55</f>
        <v>#DIV/0!</v>
      </c>
      <c r="CR64" s="433" t="e">
        <f>(Tabla2410[[#This Row],[Columna4]]*CR$56/$BZ$56)*$CH$55</f>
        <v>#DIV/0!</v>
      </c>
      <c r="CS64" s="433" t="e">
        <f>(Tabla2410[[#This Row],[Columna4]]*CS$56/$BZ$56)*$CH$55</f>
        <v>#DIV/0!</v>
      </c>
      <c r="CT64" s="433" t="e">
        <f>(Tabla2410[[#This Row],[Columna4]]*CT$56/$BZ$56)*$CH$55</f>
        <v>#DIV/0!</v>
      </c>
      <c r="CV64" s="530" t="s">
        <v>306</v>
      </c>
      <c r="CW64" s="530" t="e">
        <f>SUM(CX64:CX66)</f>
        <v>#DIV/0!</v>
      </c>
      <c r="CX64" s="350" t="e">
        <f>$AS$61</f>
        <v>#DIV/0!</v>
      </c>
      <c r="CY64" s="242" t="str">
        <f>Tabla24[[#This Row],[Columna1]]</f>
        <v>C6</v>
      </c>
      <c r="CZ64" s="433" t="e">
        <f>Tabla24105[[#This Row],[Columna3]]/7</f>
        <v>#DIV/0!</v>
      </c>
      <c r="DA64" s="433" t="e">
        <f>Tabla24105[[#This Row],[Columna4]]/4.2</f>
        <v>#DIV/0!</v>
      </c>
      <c r="DB64" s="433" t="e">
        <f>Tabla2410[[#This Row],[Columna16]]</f>
        <v>#DIV/0!</v>
      </c>
      <c r="DC64" s="433" t="e">
        <f>(Tabla24105[[#This Row],[Columna4]]*DC$56/$CT$56)*$DB$55</f>
        <v>#DIV/0!</v>
      </c>
      <c r="DD64" s="433" t="e">
        <f>(Tabla24105[[#This Row],[Columna4]]*DD$56/$CT$56)*$DB$55</f>
        <v>#DIV/0!</v>
      </c>
      <c r="DE64" s="433" t="e">
        <f>(Tabla24105[[#This Row],[Columna4]]*DE$56/$CT$56)*$DB$55</f>
        <v>#DIV/0!</v>
      </c>
      <c r="DF64" s="433" t="e">
        <f>(Tabla24105[[#This Row],[Columna4]]*DF$56/$CT$56)*$DB$55</f>
        <v>#DIV/0!</v>
      </c>
      <c r="DG64" s="433" t="e">
        <f>(Tabla24105[[#This Row],[Columna4]]*DG$56/$CT$56)*$DB$55</f>
        <v>#DIV/0!</v>
      </c>
      <c r="DH64" s="433" t="e">
        <f>(Tabla24105[[#This Row],[Columna4]]*DH$56/$CT$56)*$DB$55</f>
        <v>#DIV/0!</v>
      </c>
      <c r="DI64" s="433" t="e">
        <f>(Tabla24105[[#This Row],[Columna4]]*DI$56/$CT$56)*$DB$55</f>
        <v>#DIV/0!</v>
      </c>
      <c r="DJ64" s="433" t="e">
        <f>(Tabla24105[[#This Row],[Columna4]]*DJ$56/$CT$56)*$DB$55</f>
        <v>#DIV/0!</v>
      </c>
      <c r="DK64" s="433" t="e">
        <f>(Tabla24105[[#This Row],[Columna4]]*DK$56/$CT$56)*$DB$55</f>
        <v>#DIV/0!</v>
      </c>
      <c r="DL64" s="433" t="e">
        <f>(Tabla24105[[#This Row],[Columna4]]*DL$56/$CT$56)*$DB$55</f>
        <v>#DIV/0!</v>
      </c>
      <c r="DM64" s="433" t="e">
        <f>(Tabla24105[[#This Row],[Columna4]]*DM$56/$CT$56)*$DB$55</f>
        <v>#DIV/0!</v>
      </c>
      <c r="DN64" s="433" t="e">
        <f>(Tabla24105[[#This Row],[Columna4]]*DN$56/$CT$56)*$DB$55</f>
        <v>#DIV/0!</v>
      </c>
      <c r="DP64" s="530" t="s">
        <v>306</v>
      </c>
      <c r="DQ64" s="530" t="e">
        <f>SUM(DR64:DR66)</f>
        <v>#DIV/0!</v>
      </c>
      <c r="DR64" s="350" t="e">
        <f>$AS$61</f>
        <v>#DIV/0!</v>
      </c>
      <c r="DS64" s="242" t="str">
        <f>Tabla24[[#This Row],[Columna1]]</f>
        <v>C6</v>
      </c>
      <c r="DT64" s="433" t="e">
        <f>Tabla241057[[#This Row],[Columna3]]/7</f>
        <v>#DIV/0!</v>
      </c>
      <c r="DU64" s="433" t="e">
        <f>Tabla241057[[#This Row],[Columna4]]/4.2</f>
        <v>#DIV/0!</v>
      </c>
      <c r="DV64" s="433" t="e">
        <f>Tabla24105[[#This Row],[Columna16]]</f>
        <v>#DIV/0!</v>
      </c>
      <c r="DW64" s="433" t="e">
        <f>(Tabla241057[[#This Row],[Columna4]]*DW$56/$DN$56)*$DV$55</f>
        <v>#DIV/0!</v>
      </c>
      <c r="DX64" s="433" t="e">
        <f>(Tabla241057[[#This Row],[Columna4]]*DX$56/$DN$56)*$DV$55</f>
        <v>#DIV/0!</v>
      </c>
      <c r="DY64" s="433" t="e">
        <f>(Tabla241057[[#This Row],[Columna4]]*DY$56/$DN$56)*$DV$55</f>
        <v>#DIV/0!</v>
      </c>
      <c r="DZ64" s="433" t="e">
        <f>(Tabla241057[[#This Row],[Columna4]]*DZ$56/$DN$56)*$DV$55</f>
        <v>#DIV/0!</v>
      </c>
      <c r="EA64" s="433" t="e">
        <f>(Tabla241057[[#This Row],[Columna4]]*EA$56/$DN$56)*$DV$55</f>
        <v>#DIV/0!</v>
      </c>
      <c r="EB64" s="433" t="e">
        <f>(Tabla241057[[#This Row],[Columna4]]*EB$56/$DN$56)*$DV$55</f>
        <v>#DIV/0!</v>
      </c>
      <c r="EC64" s="433" t="e">
        <f>(Tabla241057[[#This Row],[Columna4]]*EC$56/$DN$56)*$DV$55</f>
        <v>#DIV/0!</v>
      </c>
      <c r="ED64" s="433" t="e">
        <f>(Tabla241057[[#This Row],[Columna4]]*ED$56/$DN$56)*$DV$55</f>
        <v>#DIV/0!</v>
      </c>
      <c r="EE64" s="433" t="e">
        <f>(Tabla241057[[#This Row],[Columna4]]*EE$56/$DN$56)*$DV$55</f>
        <v>#DIV/0!</v>
      </c>
      <c r="EF64" s="433" t="e">
        <f>(Tabla241057[[#This Row],[Columna4]]*EF$56/$DN$56)*$DV$55</f>
        <v>#DIV/0!</v>
      </c>
      <c r="EG64" s="433" t="e">
        <f>(Tabla241057[[#This Row],[Columna4]]*EG$56/$DN$56)*$DV$55</f>
        <v>#DIV/0!</v>
      </c>
      <c r="EH64" s="433" t="e">
        <f>(Tabla241057[[#This Row],[Columna4]]*EH$56/$DN$56)*$DV$55</f>
        <v>#DIV/0!</v>
      </c>
      <c r="EJ64" s="530" t="s">
        <v>306</v>
      </c>
      <c r="EK64" s="530" t="e">
        <f>SUM(EL64:EL66)</f>
        <v>#DIV/0!</v>
      </c>
      <c r="EL64" s="350" t="e">
        <f>$AS$61</f>
        <v>#DIV/0!</v>
      </c>
      <c r="EM64" s="242" t="str">
        <f>Tabla24[[#This Row],[Columna1]]</f>
        <v>C6</v>
      </c>
      <c r="EN64" s="433" t="e">
        <f>Tabla24105711[[#This Row],[Columna3]]/7</f>
        <v>#DIV/0!</v>
      </c>
      <c r="EO64" s="433" t="e">
        <f>Tabla24105711[[#This Row],[Columna4]]/4.2</f>
        <v>#DIV/0!</v>
      </c>
      <c r="EP64" s="433" t="e">
        <f>Tabla241057[[#This Row],[Columna16]]</f>
        <v>#DIV/0!</v>
      </c>
      <c r="EQ64" s="433" t="e">
        <f>(Tabla24105711[[#This Row],[Columna4]]*EQ$56/$EH$56)*$EP$55</f>
        <v>#DIV/0!</v>
      </c>
      <c r="ER64" s="433" t="e">
        <f>(Tabla24105711[[#This Row],[Columna4]]*ER$56/$EH$56)*$EP$55</f>
        <v>#DIV/0!</v>
      </c>
      <c r="ES64" s="433" t="e">
        <f>(Tabla24105711[[#This Row],[Columna4]]*ES$56/$EH$56)*$EP$55</f>
        <v>#DIV/0!</v>
      </c>
      <c r="ET64" s="433" t="e">
        <f>(Tabla24105711[[#This Row],[Columna4]]*ET$56/$EH$56)*$EP$55</f>
        <v>#DIV/0!</v>
      </c>
      <c r="EU64" s="433" t="e">
        <f>(Tabla24105711[[#This Row],[Columna4]]*EU$56/$EH$56)*$EP$55</f>
        <v>#DIV/0!</v>
      </c>
      <c r="EV64" s="433" t="e">
        <f>(Tabla24105711[[#This Row],[Columna4]]*EV$56/$EH$56)*$EP$55</f>
        <v>#DIV/0!</v>
      </c>
      <c r="EW64" s="433" t="e">
        <f>(Tabla24105711[[#This Row],[Columna4]]*EW$56/$EH$56)*$EP$55</f>
        <v>#DIV/0!</v>
      </c>
      <c r="EX64" s="433" t="e">
        <f>(Tabla24105711[[#This Row],[Columna4]]*EX$56/$EH$56)*$EP$55</f>
        <v>#DIV/0!</v>
      </c>
      <c r="EY64" s="433" t="e">
        <f>(Tabla24105711[[#This Row],[Columna4]]*EY$56/$EH$56)*$EP$55</f>
        <v>#DIV/0!</v>
      </c>
      <c r="EZ64" s="433" t="e">
        <f>(Tabla24105711[[#This Row],[Columna4]]*EZ$56/$EH$56)*$EP$55</f>
        <v>#DIV/0!</v>
      </c>
      <c r="FA64" s="433" t="e">
        <f>(Tabla24105711[[#This Row],[Columna4]]*FA$56/$EH$56)*$EP$55</f>
        <v>#DIV/0!</v>
      </c>
      <c r="FB64" s="433" t="e">
        <f>(Tabla24105711[[#This Row],[Columna4]]*FB$56/$EH$56)*$EP$55</f>
        <v>#DIV/0!</v>
      </c>
      <c r="FD64" s="397" t="s">
        <v>85</v>
      </c>
      <c r="FE64" s="399" t="s">
        <v>82</v>
      </c>
      <c r="FF64" s="400">
        <f t="shared" ref="FF64:FQ79" si="293">+FF239/FF$376</f>
        <v>0</v>
      </c>
      <c r="FG64" s="400">
        <f t="shared" si="293"/>
        <v>0</v>
      </c>
      <c r="FH64" s="400">
        <f t="shared" si="293"/>
        <v>0</v>
      </c>
      <c r="FI64" s="400">
        <f t="shared" si="293"/>
        <v>0</v>
      </c>
      <c r="FJ64" s="400">
        <f t="shared" si="293"/>
        <v>0</v>
      </c>
      <c r="FK64" s="400">
        <f t="shared" si="293"/>
        <v>0</v>
      </c>
      <c r="FL64" s="400">
        <f t="shared" si="293"/>
        <v>0</v>
      </c>
      <c r="FM64" s="400">
        <f t="shared" si="293"/>
        <v>0</v>
      </c>
      <c r="FN64" s="400">
        <f t="shared" si="293"/>
        <v>0</v>
      </c>
      <c r="FO64" s="400">
        <f t="shared" si="293"/>
        <v>0</v>
      </c>
      <c r="FP64" s="400">
        <f t="shared" si="293"/>
        <v>0</v>
      </c>
      <c r="FQ64" s="400">
        <f t="shared" si="293"/>
        <v>0</v>
      </c>
      <c r="FR64" s="363">
        <f t="shared" si="197"/>
        <v>0</v>
      </c>
      <c r="FS64" s="260" t="e">
        <f t="shared" si="198"/>
        <v>#DIV/0!</v>
      </c>
      <c r="FV64" s="526" t="s">
        <v>443</v>
      </c>
      <c r="FW64" s="526"/>
      <c r="FX64" s="526"/>
      <c r="FY64" s="526"/>
      <c r="FZ64" s="526"/>
      <c r="GA64" s="526"/>
      <c r="GB64" s="526"/>
      <c r="GC64" s="245" t="s">
        <v>435</v>
      </c>
      <c r="GD64" s="246">
        <v>0</v>
      </c>
      <c r="GE64" s="247" t="str">
        <f>IF(GD64=0%,"No Calculado","Ajustado")</f>
        <v>No Calculado</v>
      </c>
      <c r="GF64" s="254"/>
      <c r="GG64" s="245" t="s">
        <v>431</v>
      </c>
      <c r="GH64" s="246">
        <v>0</v>
      </c>
      <c r="GI64" s="247" t="str">
        <f>IF(GH64=0%,"Ya Calculado","Mejorado")</f>
        <v>Ya Calculado</v>
      </c>
      <c r="HD64" s="65" t="s">
        <v>539</v>
      </c>
      <c r="HE64" s="66">
        <v>0</v>
      </c>
      <c r="HF64" s="67">
        <f t="shared" si="251"/>
        <v>0</v>
      </c>
      <c r="HG64" s="68">
        <f t="shared" si="252"/>
        <v>0</v>
      </c>
      <c r="HH64" s="69">
        <v>1</v>
      </c>
      <c r="HI64" s="367">
        <v>0</v>
      </c>
      <c r="HJ64" s="143"/>
      <c r="HM64" s="283"/>
      <c r="HN64" s="432">
        <v>45170</v>
      </c>
      <c r="HO64" s="285"/>
      <c r="HP64" s="283"/>
      <c r="HQ64" s="286"/>
      <c r="HR64" s="283"/>
      <c r="HS64" s="286"/>
      <c r="HT64" s="283"/>
      <c r="HU64" s="286"/>
      <c r="HV64" s="283"/>
      <c r="HW64" s="286"/>
      <c r="HX64" s="283"/>
      <c r="HY64" s="286"/>
      <c r="HZ64" s="283"/>
      <c r="IA64" s="286"/>
      <c r="IB64" s="283"/>
      <c r="IC64" s="286"/>
      <c r="ID64" s="283"/>
      <c r="IE64" s="286"/>
      <c r="IF64" s="283"/>
      <c r="IG64" s="286"/>
      <c r="IH64" s="283"/>
      <c r="II64" s="286"/>
      <c r="IJ64" s="283"/>
      <c r="IK64" s="286"/>
      <c r="IL64" s="283"/>
      <c r="IM64" s="288"/>
    </row>
    <row r="65" spans="39:247" ht="14.4" customHeight="1" x14ac:dyDescent="0.3">
      <c r="AM65" s="368">
        <f t="shared" si="270"/>
        <v>0</v>
      </c>
      <c r="AN65" s="368">
        <f t="shared" si="271"/>
        <v>0</v>
      </c>
      <c r="AO65" s="368">
        <f t="shared" si="272"/>
        <v>0</v>
      </c>
      <c r="AP65" s="368">
        <f t="shared" si="273"/>
        <v>0</v>
      </c>
      <c r="AQ65" s="369" t="s">
        <v>778</v>
      </c>
      <c r="AR65" s="297">
        <f t="shared" si="274"/>
        <v>0</v>
      </c>
      <c r="AS65" s="370" t="e">
        <f t="shared" si="267"/>
        <v>#DIV/0!</v>
      </c>
      <c r="AT65" s="525"/>
      <c r="AU65" s="525"/>
      <c r="AV65" s="299">
        <v>0</v>
      </c>
      <c r="AW65" s="300">
        <v>0</v>
      </c>
      <c r="AX65" s="301"/>
      <c r="BH65" s="530"/>
      <c r="BI65" s="530"/>
      <c r="BJ65" s="350" t="e">
        <f>$AS$62</f>
        <v>#DIV/0!</v>
      </c>
      <c r="BK65" s="242" t="str">
        <f t="shared" si="277"/>
        <v>C7</v>
      </c>
      <c r="BL65" s="433">
        <f>Tabla24[[#This Row],[Columna3]]/7</f>
        <v>0</v>
      </c>
      <c r="BM65" s="433">
        <f>Tabla24[[#This Row],[Columna4]]/4.2</f>
        <v>0</v>
      </c>
      <c r="BN65" s="433">
        <f t="shared" si="278"/>
        <v>0</v>
      </c>
      <c r="BO65" s="433">
        <f t="shared" si="279"/>
        <v>0</v>
      </c>
      <c r="BP65" s="433">
        <f t="shared" si="280"/>
        <v>0</v>
      </c>
      <c r="BQ65" s="433">
        <f t="shared" si="281"/>
        <v>0</v>
      </c>
      <c r="BR65" s="433">
        <f t="shared" si="282"/>
        <v>0</v>
      </c>
      <c r="BS65" s="433">
        <f t="shared" si="283"/>
        <v>0</v>
      </c>
      <c r="BT65" s="433">
        <f t="shared" si="284"/>
        <v>0</v>
      </c>
      <c r="BU65" s="433">
        <f t="shared" si="285"/>
        <v>0</v>
      </c>
      <c r="BV65" s="433">
        <f t="shared" si="286"/>
        <v>0</v>
      </c>
      <c r="BW65" s="433">
        <f t="shared" si="287"/>
        <v>0</v>
      </c>
      <c r="BX65" s="433">
        <f t="shared" si="288"/>
        <v>0</v>
      </c>
      <c r="BY65" s="433">
        <f t="shared" si="289"/>
        <v>0</v>
      </c>
      <c r="BZ65" s="433">
        <f t="shared" si="290"/>
        <v>0</v>
      </c>
      <c r="CB65" s="530"/>
      <c r="CC65" s="530"/>
      <c r="CD65" s="350" t="e">
        <f>$AS$62</f>
        <v>#DIV/0!</v>
      </c>
      <c r="CE65" s="242" t="str">
        <f>Tabla24[[#This Row],[Columna1]]</f>
        <v>C7</v>
      </c>
      <c r="CF65" s="433">
        <f>Tabla2410[[#This Row],[Columna3]]/7</f>
        <v>0</v>
      </c>
      <c r="CG65" s="433">
        <f>Tabla2410[[#This Row],[Columna4]]/4.2</f>
        <v>0</v>
      </c>
      <c r="CH65" s="433">
        <f>Tabla24[[#This Row],[Columna16]]</f>
        <v>0</v>
      </c>
      <c r="CI65" s="433" t="e">
        <f>(Tabla2410[[#This Row],[Columna4]]*CI$56/$BZ$56)*$CH$55</f>
        <v>#DIV/0!</v>
      </c>
      <c r="CJ65" s="433" t="e">
        <f>(Tabla2410[[#This Row],[Columna4]]*CJ$56/$BZ$56)*$CH$55</f>
        <v>#DIV/0!</v>
      </c>
      <c r="CK65" s="433" t="e">
        <f>(Tabla2410[[#This Row],[Columna4]]*CK$56/$BZ$56)*$CH$55</f>
        <v>#DIV/0!</v>
      </c>
      <c r="CL65" s="433" t="e">
        <f>(Tabla2410[[#This Row],[Columna4]]*CL$56/$BZ$56)*$CH$55</f>
        <v>#DIV/0!</v>
      </c>
      <c r="CM65" s="433" t="e">
        <f>(Tabla2410[[#This Row],[Columna4]]*CM$56/$BZ$56)*$CH$55</f>
        <v>#DIV/0!</v>
      </c>
      <c r="CN65" s="433" t="e">
        <f>(Tabla2410[[#This Row],[Columna4]]*CN$56/$BZ$56)*$CH$55</f>
        <v>#DIV/0!</v>
      </c>
      <c r="CO65" s="433" t="e">
        <f>(Tabla2410[[#This Row],[Columna4]]*CO$56/$BZ$56)*$CH$55</f>
        <v>#DIV/0!</v>
      </c>
      <c r="CP65" s="433" t="e">
        <f>(Tabla2410[[#This Row],[Columna4]]*CP$56/$BZ$56)*$CH$55</f>
        <v>#DIV/0!</v>
      </c>
      <c r="CQ65" s="433" t="e">
        <f>(Tabla2410[[#This Row],[Columna4]]*CQ$56/$BZ$56)*$CH$55</f>
        <v>#DIV/0!</v>
      </c>
      <c r="CR65" s="433" t="e">
        <f>(Tabla2410[[#This Row],[Columna4]]*CR$56/$BZ$56)*$CH$55</f>
        <v>#DIV/0!</v>
      </c>
      <c r="CS65" s="433" t="e">
        <f>(Tabla2410[[#This Row],[Columna4]]*CS$56/$BZ$56)*$CH$55</f>
        <v>#DIV/0!</v>
      </c>
      <c r="CT65" s="433" t="e">
        <f>(Tabla2410[[#This Row],[Columna4]]*CT$56/$BZ$56)*$CH$55</f>
        <v>#DIV/0!</v>
      </c>
      <c r="CV65" s="530"/>
      <c r="CW65" s="530"/>
      <c r="CX65" s="350" t="e">
        <f>$AS$62</f>
        <v>#DIV/0!</v>
      </c>
      <c r="CY65" s="242" t="str">
        <f>Tabla24[[#This Row],[Columna1]]</f>
        <v>C7</v>
      </c>
      <c r="CZ65" s="433" t="e">
        <f>Tabla24105[[#This Row],[Columna3]]/7</f>
        <v>#DIV/0!</v>
      </c>
      <c r="DA65" s="433" t="e">
        <f>Tabla24105[[#This Row],[Columna4]]/4.2</f>
        <v>#DIV/0!</v>
      </c>
      <c r="DB65" s="433" t="e">
        <f>Tabla2410[[#This Row],[Columna16]]</f>
        <v>#DIV/0!</v>
      </c>
      <c r="DC65" s="433" t="e">
        <f>(Tabla24105[[#This Row],[Columna4]]*DC$56/$CT$56)*$DB$55</f>
        <v>#DIV/0!</v>
      </c>
      <c r="DD65" s="433" t="e">
        <f>(Tabla24105[[#This Row],[Columna4]]*DD$56/$CT$56)*$DB$55</f>
        <v>#DIV/0!</v>
      </c>
      <c r="DE65" s="433" t="e">
        <f>(Tabla24105[[#This Row],[Columna4]]*DE$56/$CT$56)*$DB$55</f>
        <v>#DIV/0!</v>
      </c>
      <c r="DF65" s="433" t="e">
        <f>(Tabla24105[[#This Row],[Columna4]]*DF$56/$CT$56)*$DB$55</f>
        <v>#DIV/0!</v>
      </c>
      <c r="DG65" s="433" t="e">
        <f>(Tabla24105[[#This Row],[Columna4]]*DG$56/$CT$56)*$DB$55</f>
        <v>#DIV/0!</v>
      </c>
      <c r="DH65" s="433" t="e">
        <f>(Tabla24105[[#This Row],[Columna4]]*DH$56/$CT$56)*$DB$55</f>
        <v>#DIV/0!</v>
      </c>
      <c r="DI65" s="433" t="e">
        <f>(Tabla24105[[#This Row],[Columna4]]*DI$56/$CT$56)*$DB$55</f>
        <v>#DIV/0!</v>
      </c>
      <c r="DJ65" s="433" t="e">
        <f>(Tabla24105[[#This Row],[Columna4]]*DJ$56/$CT$56)*$DB$55</f>
        <v>#DIV/0!</v>
      </c>
      <c r="DK65" s="433" t="e">
        <f>(Tabla24105[[#This Row],[Columna4]]*DK$56/$CT$56)*$DB$55</f>
        <v>#DIV/0!</v>
      </c>
      <c r="DL65" s="433" t="e">
        <f>(Tabla24105[[#This Row],[Columna4]]*DL$56/$CT$56)*$DB$55</f>
        <v>#DIV/0!</v>
      </c>
      <c r="DM65" s="433" t="e">
        <f>(Tabla24105[[#This Row],[Columna4]]*DM$56/$CT$56)*$DB$55</f>
        <v>#DIV/0!</v>
      </c>
      <c r="DN65" s="433" t="e">
        <f>(Tabla24105[[#This Row],[Columna4]]*DN$56/$CT$56)*$DB$55</f>
        <v>#DIV/0!</v>
      </c>
      <c r="DP65" s="530"/>
      <c r="DQ65" s="530"/>
      <c r="DR65" s="350" t="e">
        <f>$AS$62</f>
        <v>#DIV/0!</v>
      </c>
      <c r="DS65" s="242" t="str">
        <f>Tabla24[[#This Row],[Columna1]]</f>
        <v>C7</v>
      </c>
      <c r="DT65" s="433" t="e">
        <f>Tabla241057[[#This Row],[Columna3]]/7</f>
        <v>#DIV/0!</v>
      </c>
      <c r="DU65" s="433" t="e">
        <f>Tabla241057[[#This Row],[Columna4]]/4.2</f>
        <v>#DIV/0!</v>
      </c>
      <c r="DV65" s="433" t="e">
        <f>Tabla24105[[#This Row],[Columna16]]</f>
        <v>#DIV/0!</v>
      </c>
      <c r="DW65" s="433" t="e">
        <f>(Tabla241057[[#This Row],[Columna4]]*DW$56/$DN$56)*$DV$55</f>
        <v>#DIV/0!</v>
      </c>
      <c r="DX65" s="433" t="e">
        <f>(Tabla241057[[#This Row],[Columna4]]*DX$56/$DN$56)*$DV$55</f>
        <v>#DIV/0!</v>
      </c>
      <c r="DY65" s="433" t="e">
        <f>(Tabla241057[[#This Row],[Columna4]]*DY$56/$DN$56)*$DV$55</f>
        <v>#DIV/0!</v>
      </c>
      <c r="DZ65" s="433" t="e">
        <f>(Tabla241057[[#This Row],[Columna4]]*DZ$56/$DN$56)*$DV$55</f>
        <v>#DIV/0!</v>
      </c>
      <c r="EA65" s="433" t="e">
        <f>(Tabla241057[[#This Row],[Columna4]]*EA$56/$DN$56)*$DV$55</f>
        <v>#DIV/0!</v>
      </c>
      <c r="EB65" s="433" t="e">
        <f>(Tabla241057[[#This Row],[Columna4]]*EB$56/$DN$56)*$DV$55</f>
        <v>#DIV/0!</v>
      </c>
      <c r="EC65" s="433" t="e">
        <f>(Tabla241057[[#This Row],[Columna4]]*EC$56/$DN$56)*$DV$55</f>
        <v>#DIV/0!</v>
      </c>
      <c r="ED65" s="433" t="e">
        <f>(Tabla241057[[#This Row],[Columna4]]*ED$56/$DN$56)*$DV$55</f>
        <v>#DIV/0!</v>
      </c>
      <c r="EE65" s="433" t="e">
        <f>(Tabla241057[[#This Row],[Columna4]]*EE$56/$DN$56)*$DV$55</f>
        <v>#DIV/0!</v>
      </c>
      <c r="EF65" s="433" t="e">
        <f>(Tabla241057[[#This Row],[Columna4]]*EF$56/$DN$56)*$DV$55</f>
        <v>#DIV/0!</v>
      </c>
      <c r="EG65" s="433" t="e">
        <f>(Tabla241057[[#This Row],[Columna4]]*EG$56/$DN$56)*$DV$55</f>
        <v>#DIV/0!</v>
      </c>
      <c r="EH65" s="433" t="e">
        <f>(Tabla241057[[#This Row],[Columna4]]*EH$56/$DN$56)*$DV$55</f>
        <v>#DIV/0!</v>
      </c>
      <c r="EJ65" s="530"/>
      <c r="EK65" s="530"/>
      <c r="EL65" s="350" t="e">
        <f>$AS$62</f>
        <v>#DIV/0!</v>
      </c>
      <c r="EM65" s="242" t="str">
        <f>Tabla24[[#This Row],[Columna1]]</f>
        <v>C7</v>
      </c>
      <c r="EN65" s="433" t="e">
        <f>Tabla24105711[[#This Row],[Columna3]]/7</f>
        <v>#DIV/0!</v>
      </c>
      <c r="EO65" s="433" t="e">
        <f>Tabla24105711[[#This Row],[Columna4]]/4.2</f>
        <v>#DIV/0!</v>
      </c>
      <c r="EP65" s="433" t="e">
        <f>Tabla241057[[#This Row],[Columna16]]</f>
        <v>#DIV/0!</v>
      </c>
      <c r="EQ65" s="433" t="e">
        <f>(Tabla24105711[[#This Row],[Columna4]]*EQ$56/$EH$56)*$EP$55</f>
        <v>#DIV/0!</v>
      </c>
      <c r="ER65" s="433" t="e">
        <f>(Tabla24105711[[#This Row],[Columna4]]*ER$56/$EH$56)*$EP$55</f>
        <v>#DIV/0!</v>
      </c>
      <c r="ES65" s="433" t="e">
        <f>(Tabla24105711[[#This Row],[Columna4]]*ES$56/$EH$56)*$EP$55</f>
        <v>#DIV/0!</v>
      </c>
      <c r="ET65" s="433" t="e">
        <f>(Tabla24105711[[#This Row],[Columna4]]*ET$56/$EH$56)*$EP$55</f>
        <v>#DIV/0!</v>
      </c>
      <c r="EU65" s="433" t="e">
        <f>(Tabla24105711[[#This Row],[Columna4]]*EU$56/$EH$56)*$EP$55</f>
        <v>#DIV/0!</v>
      </c>
      <c r="EV65" s="433" t="e">
        <f>(Tabla24105711[[#This Row],[Columna4]]*EV$56/$EH$56)*$EP$55</f>
        <v>#DIV/0!</v>
      </c>
      <c r="EW65" s="433" t="e">
        <f>(Tabla24105711[[#This Row],[Columna4]]*EW$56/$EH$56)*$EP$55</f>
        <v>#DIV/0!</v>
      </c>
      <c r="EX65" s="433" t="e">
        <f>(Tabla24105711[[#This Row],[Columna4]]*EX$56/$EH$56)*$EP$55</f>
        <v>#DIV/0!</v>
      </c>
      <c r="EY65" s="433" t="e">
        <f>(Tabla24105711[[#This Row],[Columna4]]*EY$56/$EH$56)*$EP$55</f>
        <v>#DIV/0!</v>
      </c>
      <c r="EZ65" s="433" t="e">
        <f>(Tabla24105711[[#This Row],[Columna4]]*EZ$56/$EH$56)*$EP$55</f>
        <v>#DIV/0!</v>
      </c>
      <c r="FA65" s="433" t="e">
        <f>(Tabla24105711[[#This Row],[Columna4]]*FA$56/$EH$56)*$EP$55</f>
        <v>#DIV/0!</v>
      </c>
      <c r="FB65" s="433" t="e">
        <f>(Tabla24105711[[#This Row],[Columna4]]*FB$56/$EH$56)*$EP$55</f>
        <v>#DIV/0!</v>
      </c>
      <c r="FD65" s="397" t="s">
        <v>87</v>
      </c>
      <c r="FE65" s="399" t="s">
        <v>84</v>
      </c>
      <c r="FF65" s="400">
        <f t="shared" si="293"/>
        <v>0</v>
      </c>
      <c r="FG65" s="400">
        <f t="shared" si="293"/>
        <v>0</v>
      </c>
      <c r="FH65" s="400">
        <f t="shared" si="293"/>
        <v>0</v>
      </c>
      <c r="FI65" s="400">
        <f t="shared" si="293"/>
        <v>0</v>
      </c>
      <c r="FJ65" s="400">
        <f t="shared" si="293"/>
        <v>0</v>
      </c>
      <c r="FK65" s="400">
        <f t="shared" si="293"/>
        <v>0</v>
      </c>
      <c r="FL65" s="400">
        <f t="shared" si="293"/>
        <v>0</v>
      </c>
      <c r="FM65" s="400">
        <f t="shared" si="293"/>
        <v>0</v>
      </c>
      <c r="FN65" s="400">
        <f t="shared" si="293"/>
        <v>0</v>
      </c>
      <c r="FO65" s="400">
        <f t="shared" si="293"/>
        <v>0</v>
      </c>
      <c r="FP65" s="400">
        <f t="shared" si="293"/>
        <v>0</v>
      </c>
      <c r="FQ65" s="400">
        <f t="shared" si="293"/>
        <v>0</v>
      </c>
      <c r="FR65" s="363">
        <f t="shared" si="197"/>
        <v>0</v>
      </c>
      <c r="FS65" s="260" t="e">
        <f t="shared" si="198"/>
        <v>#DIV/0!</v>
      </c>
      <c r="FV65" s="526"/>
      <c r="FW65" s="526"/>
      <c r="FX65" s="526"/>
      <c r="FY65" s="526"/>
      <c r="FZ65" s="526"/>
      <c r="GA65" s="526"/>
      <c r="GB65" s="526"/>
      <c r="GC65" s="245" t="s">
        <v>436</v>
      </c>
      <c r="GD65" s="246">
        <v>0</v>
      </c>
      <c r="GE65" s="247" t="str">
        <f>IF(GD65=0%,"No Incluido","Adaptado")</f>
        <v>No Incluido</v>
      </c>
      <c r="GF65" s="254"/>
      <c r="GG65" s="245" t="s">
        <v>432</v>
      </c>
      <c r="GH65" s="246">
        <v>0</v>
      </c>
      <c r="GI65" s="247" t="str">
        <f>IF(GH65=0%,"No Incluido","Adaptado")</f>
        <v>No Incluido</v>
      </c>
      <c r="HD65" s="65" t="s">
        <v>540</v>
      </c>
      <c r="HE65" s="66">
        <v>0</v>
      </c>
      <c r="HF65" s="67">
        <f t="shared" si="251"/>
        <v>0</v>
      </c>
      <c r="HG65" s="68">
        <f t="shared" si="252"/>
        <v>0</v>
      </c>
      <c r="HH65" s="69">
        <v>1</v>
      </c>
      <c r="HI65" s="367">
        <v>0</v>
      </c>
      <c r="HJ65" s="143"/>
      <c r="HM65" s="283"/>
      <c r="HN65" s="432">
        <v>45200</v>
      </c>
      <c r="HO65" s="285"/>
      <c r="HP65" s="283"/>
      <c r="HQ65" s="286"/>
      <c r="HR65" s="283"/>
      <c r="HS65" s="286"/>
      <c r="HT65" s="283"/>
      <c r="HU65" s="286"/>
      <c r="HV65" s="283"/>
      <c r="HW65" s="286"/>
      <c r="HX65" s="283"/>
      <c r="HY65" s="286"/>
      <c r="HZ65" s="283"/>
      <c r="IA65" s="286"/>
      <c r="IB65" s="283"/>
      <c r="IC65" s="286"/>
      <c r="ID65" s="283"/>
      <c r="IE65" s="286"/>
      <c r="IF65" s="283"/>
      <c r="IG65" s="286"/>
      <c r="IH65" s="283"/>
      <c r="II65" s="286"/>
      <c r="IJ65" s="283"/>
      <c r="IK65" s="286"/>
      <c r="IL65" s="283"/>
      <c r="IM65" s="288"/>
    </row>
    <row r="66" spans="39:247" ht="14.4" customHeight="1" x14ac:dyDescent="0.3">
      <c r="AM66" s="368">
        <f t="shared" si="270"/>
        <v>0</v>
      </c>
      <c r="AN66" s="368">
        <f t="shared" si="271"/>
        <v>0</v>
      </c>
      <c r="AO66" s="368">
        <f t="shared" si="272"/>
        <v>0</v>
      </c>
      <c r="AP66" s="368">
        <f t="shared" si="273"/>
        <v>0</v>
      </c>
      <c r="AQ66" s="369" t="s">
        <v>780</v>
      </c>
      <c r="AR66" s="297">
        <f t="shared" si="274"/>
        <v>0</v>
      </c>
      <c r="AS66" s="370" t="e">
        <f t="shared" si="267"/>
        <v>#DIV/0!</v>
      </c>
      <c r="AT66" s="525"/>
      <c r="AU66" s="525"/>
      <c r="AV66" s="299">
        <v>0</v>
      </c>
      <c r="AW66" s="300">
        <v>0</v>
      </c>
      <c r="AX66" s="301"/>
      <c r="BH66" s="530"/>
      <c r="BI66" s="530"/>
      <c r="BJ66" s="350" t="e">
        <f>$AS$63</f>
        <v>#DIV/0!</v>
      </c>
      <c r="BK66" s="242" t="str">
        <f t="shared" si="277"/>
        <v>C8</v>
      </c>
      <c r="BL66" s="433">
        <f>Tabla24[[#This Row],[Columna3]]/7</f>
        <v>0</v>
      </c>
      <c r="BM66" s="433">
        <f>Tabla24[[#This Row],[Columna4]]/4.2</f>
        <v>0</v>
      </c>
      <c r="BN66" s="433">
        <f t="shared" si="278"/>
        <v>0</v>
      </c>
      <c r="BO66" s="433">
        <f t="shared" si="279"/>
        <v>0</v>
      </c>
      <c r="BP66" s="433">
        <f t="shared" si="280"/>
        <v>0</v>
      </c>
      <c r="BQ66" s="433">
        <f t="shared" si="281"/>
        <v>0</v>
      </c>
      <c r="BR66" s="433">
        <f t="shared" si="282"/>
        <v>0</v>
      </c>
      <c r="BS66" s="433">
        <f t="shared" si="283"/>
        <v>0</v>
      </c>
      <c r="BT66" s="433">
        <f t="shared" si="284"/>
        <v>0</v>
      </c>
      <c r="BU66" s="433">
        <f t="shared" si="285"/>
        <v>0</v>
      </c>
      <c r="BV66" s="433">
        <f t="shared" si="286"/>
        <v>0</v>
      </c>
      <c r="BW66" s="433">
        <f t="shared" si="287"/>
        <v>0</v>
      </c>
      <c r="BX66" s="433">
        <f t="shared" si="288"/>
        <v>0</v>
      </c>
      <c r="BY66" s="433">
        <f t="shared" si="289"/>
        <v>0</v>
      </c>
      <c r="BZ66" s="433">
        <f t="shared" si="290"/>
        <v>0</v>
      </c>
      <c r="CB66" s="530"/>
      <c r="CC66" s="530"/>
      <c r="CD66" s="350" t="e">
        <f>$AS$63</f>
        <v>#DIV/0!</v>
      </c>
      <c r="CE66" s="242" t="str">
        <f>Tabla24[[#This Row],[Columna1]]</f>
        <v>C8</v>
      </c>
      <c r="CF66" s="433">
        <f>Tabla2410[[#This Row],[Columna3]]/7</f>
        <v>0</v>
      </c>
      <c r="CG66" s="433">
        <f>Tabla2410[[#This Row],[Columna4]]/4.2</f>
        <v>0</v>
      </c>
      <c r="CH66" s="433">
        <f>Tabla24[[#This Row],[Columna16]]</f>
        <v>0</v>
      </c>
      <c r="CI66" s="433" t="e">
        <f>(Tabla2410[[#This Row],[Columna4]]*CI$56/$BZ$56)*$CH$55</f>
        <v>#DIV/0!</v>
      </c>
      <c r="CJ66" s="433" t="e">
        <f>(Tabla2410[[#This Row],[Columna4]]*CJ$56/$BZ$56)*$CH$55</f>
        <v>#DIV/0!</v>
      </c>
      <c r="CK66" s="433" t="e">
        <f>(Tabla2410[[#This Row],[Columna4]]*CK$56/$BZ$56)*$CH$55</f>
        <v>#DIV/0!</v>
      </c>
      <c r="CL66" s="433" t="e">
        <f>(Tabla2410[[#This Row],[Columna4]]*CL$56/$BZ$56)*$CH$55</f>
        <v>#DIV/0!</v>
      </c>
      <c r="CM66" s="433" t="e">
        <f>(Tabla2410[[#This Row],[Columna4]]*CM$56/$BZ$56)*$CH$55</f>
        <v>#DIV/0!</v>
      </c>
      <c r="CN66" s="433" t="e">
        <f>(Tabla2410[[#This Row],[Columna4]]*CN$56/$BZ$56)*$CH$55</f>
        <v>#DIV/0!</v>
      </c>
      <c r="CO66" s="433" t="e">
        <f>(Tabla2410[[#This Row],[Columna4]]*CO$56/$BZ$56)*$CH$55</f>
        <v>#DIV/0!</v>
      </c>
      <c r="CP66" s="433" t="e">
        <f>(Tabla2410[[#This Row],[Columna4]]*CP$56/$BZ$56)*$CH$55</f>
        <v>#DIV/0!</v>
      </c>
      <c r="CQ66" s="433" t="e">
        <f>(Tabla2410[[#This Row],[Columna4]]*CQ$56/$BZ$56)*$CH$55</f>
        <v>#DIV/0!</v>
      </c>
      <c r="CR66" s="433" t="e">
        <f>(Tabla2410[[#This Row],[Columna4]]*CR$56/$BZ$56)*$CH$55</f>
        <v>#DIV/0!</v>
      </c>
      <c r="CS66" s="433" t="e">
        <f>(Tabla2410[[#This Row],[Columna4]]*CS$56/$BZ$56)*$CH$55</f>
        <v>#DIV/0!</v>
      </c>
      <c r="CT66" s="433" t="e">
        <f>(Tabla2410[[#This Row],[Columna4]]*CT$56/$BZ$56)*$CH$55</f>
        <v>#DIV/0!</v>
      </c>
      <c r="CV66" s="530"/>
      <c r="CW66" s="530"/>
      <c r="CX66" s="350" t="e">
        <f>$AS$63</f>
        <v>#DIV/0!</v>
      </c>
      <c r="CY66" s="242" t="str">
        <f>Tabla24[[#This Row],[Columna1]]</f>
        <v>C8</v>
      </c>
      <c r="CZ66" s="433" t="e">
        <f>Tabla24105[[#This Row],[Columna3]]/7</f>
        <v>#DIV/0!</v>
      </c>
      <c r="DA66" s="433" t="e">
        <f>Tabla24105[[#This Row],[Columna4]]/4.2</f>
        <v>#DIV/0!</v>
      </c>
      <c r="DB66" s="433" t="e">
        <f>Tabla2410[[#This Row],[Columna16]]</f>
        <v>#DIV/0!</v>
      </c>
      <c r="DC66" s="433" t="e">
        <f>(Tabla24105[[#This Row],[Columna4]]*DC$56/$CT$56)*$DB$55</f>
        <v>#DIV/0!</v>
      </c>
      <c r="DD66" s="433" t="e">
        <f>(Tabla24105[[#This Row],[Columna4]]*DD$56/$CT$56)*$DB$55</f>
        <v>#DIV/0!</v>
      </c>
      <c r="DE66" s="433" t="e">
        <f>(Tabla24105[[#This Row],[Columna4]]*DE$56/$CT$56)*$DB$55</f>
        <v>#DIV/0!</v>
      </c>
      <c r="DF66" s="433" t="e">
        <f>(Tabla24105[[#This Row],[Columna4]]*DF$56/$CT$56)*$DB$55</f>
        <v>#DIV/0!</v>
      </c>
      <c r="DG66" s="433" t="e">
        <f>(Tabla24105[[#This Row],[Columna4]]*DG$56/$CT$56)*$DB$55</f>
        <v>#DIV/0!</v>
      </c>
      <c r="DH66" s="433" t="e">
        <f>(Tabla24105[[#This Row],[Columna4]]*DH$56/$CT$56)*$DB$55</f>
        <v>#DIV/0!</v>
      </c>
      <c r="DI66" s="433" t="e">
        <f>(Tabla24105[[#This Row],[Columna4]]*DI$56/$CT$56)*$DB$55</f>
        <v>#DIV/0!</v>
      </c>
      <c r="DJ66" s="433" t="e">
        <f>(Tabla24105[[#This Row],[Columna4]]*DJ$56/$CT$56)*$DB$55</f>
        <v>#DIV/0!</v>
      </c>
      <c r="DK66" s="433" t="e">
        <f>(Tabla24105[[#This Row],[Columna4]]*DK$56/$CT$56)*$DB$55</f>
        <v>#DIV/0!</v>
      </c>
      <c r="DL66" s="433" t="e">
        <f>(Tabla24105[[#This Row],[Columna4]]*DL$56/$CT$56)*$DB$55</f>
        <v>#DIV/0!</v>
      </c>
      <c r="DM66" s="433" t="e">
        <f>(Tabla24105[[#This Row],[Columna4]]*DM$56/$CT$56)*$DB$55</f>
        <v>#DIV/0!</v>
      </c>
      <c r="DN66" s="433" t="e">
        <f>(Tabla24105[[#This Row],[Columna4]]*DN$56/$CT$56)*$DB$55</f>
        <v>#DIV/0!</v>
      </c>
      <c r="DP66" s="530"/>
      <c r="DQ66" s="530"/>
      <c r="DR66" s="350" t="e">
        <f>$AS$63</f>
        <v>#DIV/0!</v>
      </c>
      <c r="DS66" s="242" t="str">
        <f>Tabla24[[#This Row],[Columna1]]</f>
        <v>C8</v>
      </c>
      <c r="DT66" s="433" t="e">
        <f>Tabla241057[[#This Row],[Columna3]]/7</f>
        <v>#DIV/0!</v>
      </c>
      <c r="DU66" s="433" t="e">
        <f>Tabla241057[[#This Row],[Columna4]]/4.2</f>
        <v>#DIV/0!</v>
      </c>
      <c r="DV66" s="433" t="e">
        <f>Tabla24105[[#This Row],[Columna16]]</f>
        <v>#DIV/0!</v>
      </c>
      <c r="DW66" s="433" t="e">
        <f>(Tabla241057[[#This Row],[Columna4]]*DW$56/$DN$56)*$DV$55</f>
        <v>#DIV/0!</v>
      </c>
      <c r="DX66" s="433" t="e">
        <f>(Tabla241057[[#This Row],[Columna4]]*DX$56/$DN$56)*$DV$55</f>
        <v>#DIV/0!</v>
      </c>
      <c r="DY66" s="433" t="e">
        <f>(Tabla241057[[#This Row],[Columna4]]*DY$56/$DN$56)*$DV$55</f>
        <v>#DIV/0!</v>
      </c>
      <c r="DZ66" s="433" t="e">
        <f>(Tabla241057[[#This Row],[Columna4]]*DZ$56/$DN$56)*$DV$55</f>
        <v>#DIV/0!</v>
      </c>
      <c r="EA66" s="433" t="e">
        <f>(Tabla241057[[#This Row],[Columna4]]*EA$56/$DN$56)*$DV$55</f>
        <v>#DIV/0!</v>
      </c>
      <c r="EB66" s="433" t="e">
        <f>(Tabla241057[[#This Row],[Columna4]]*EB$56/$DN$56)*$DV$55</f>
        <v>#DIV/0!</v>
      </c>
      <c r="EC66" s="433" t="e">
        <f>(Tabla241057[[#This Row],[Columna4]]*EC$56/$DN$56)*$DV$55</f>
        <v>#DIV/0!</v>
      </c>
      <c r="ED66" s="433" t="e">
        <f>(Tabla241057[[#This Row],[Columna4]]*ED$56/$DN$56)*$DV$55</f>
        <v>#DIV/0!</v>
      </c>
      <c r="EE66" s="433" t="e">
        <f>(Tabla241057[[#This Row],[Columna4]]*EE$56/$DN$56)*$DV$55</f>
        <v>#DIV/0!</v>
      </c>
      <c r="EF66" s="433" t="e">
        <f>(Tabla241057[[#This Row],[Columna4]]*EF$56/$DN$56)*$DV$55</f>
        <v>#DIV/0!</v>
      </c>
      <c r="EG66" s="433" t="e">
        <f>(Tabla241057[[#This Row],[Columna4]]*EG$56/$DN$56)*$DV$55</f>
        <v>#DIV/0!</v>
      </c>
      <c r="EH66" s="433" t="e">
        <f>(Tabla241057[[#This Row],[Columna4]]*EH$56/$DN$56)*$DV$55</f>
        <v>#DIV/0!</v>
      </c>
      <c r="EJ66" s="530"/>
      <c r="EK66" s="530"/>
      <c r="EL66" s="350" t="e">
        <f>$AS$63</f>
        <v>#DIV/0!</v>
      </c>
      <c r="EM66" s="242" t="str">
        <f>Tabla24[[#This Row],[Columna1]]</f>
        <v>C8</v>
      </c>
      <c r="EN66" s="433" t="e">
        <f>Tabla24105711[[#This Row],[Columna3]]/7</f>
        <v>#DIV/0!</v>
      </c>
      <c r="EO66" s="433" t="e">
        <f>Tabla24105711[[#This Row],[Columna4]]/4.2</f>
        <v>#DIV/0!</v>
      </c>
      <c r="EP66" s="433" t="e">
        <f>Tabla241057[[#This Row],[Columna16]]</f>
        <v>#DIV/0!</v>
      </c>
      <c r="EQ66" s="433" t="e">
        <f>(Tabla24105711[[#This Row],[Columna4]]*EQ$56/$EH$56)*$EP$55</f>
        <v>#DIV/0!</v>
      </c>
      <c r="ER66" s="433" t="e">
        <f>(Tabla24105711[[#This Row],[Columna4]]*ER$56/$EH$56)*$EP$55</f>
        <v>#DIV/0!</v>
      </c>
      <c r="ES66" s="433" t="e">
        <f>(Tabla24105711[[#This Row],[Columna4]]*ES$56/$EH$56)*$EP$55</f>
        <v>#DIV/0!</v>
      </c>
      <c r="ET66" s="433" t="e">
        <f>(Tabla24105711[[#This Row],[Columna4]]*ET$56/$EH$56)*$EP$55</f>
        <v>#DIV/0!</v>
      </c>
      <c r="EU66" s="433" t="e">
        <f>(Tabla24105711[[#This Row],[Columna4]]*EU$56/$EH$56)*$EP$55</f>
        <v>#DIV/0!</v>
      </c>
      <c r="EV66" s="433" t="e">
        <f>(Tabla24105711[[#This Row],[Columna4]]*EV$56/$EH$56)*$EP$55</f>
        <v>#DIV/0!</v>
      </c>
      <c r="EW66" s="433" t="e">
        <f>(Tabla24105711[[#This Row],[Columna4]]*EW$56/$EH$56)*$EP$55</f>
        <v>#DIV/0!</v>
      </c>
      <c r="EX66" s="433" t="e">
        <f>(Tabla24105711[[#This Row],[Columna4]]*EX$56/$EH$56)*$EP$55</f>
        <v>#DIV/0!</v>
      </c>
      <c r="EY66" s="433" t="e">
        <f>(Tabla24105711[[#This Row],[Columna4]]*EY$56/$EH$56)*$EP$55</f>
        <v>#DIV/0!</v>
      </c>
      <c r="EZ66" s="433" t="e">
        <f>(Tabla24105711[[#This Row],[Columna4]]*EZ$56/$EH$56)*$EP$55</f>
        <v>#DIV/0!</v>
      </c>
      <c r="FA66" s="433" t="e">
        <f>(Tabla24105711[[#This Row],[Columna4]]*FA$56/$EH$56)*$EP$55</f>
        <v>#DIV/0!</v>
      </c>
      <c r="FB66" s="433" t="e">
        <f>(Tabla24105711[[#This Row],[Columna4]]*FB$56/$EH$56)*$EP$55</f>
        <v>#DIV/0!</v>
      </c>
      <c r="FD66" s="397" t="s">
        <v>89</v>
      </c>
      <c r="FE66" s="399" t="s">
        <v>86</v>
      </c>
      <c r="FF66" s="400">
        <f t="shared" si="293"/>
        <v>0</v>
      </c>
      <c r="FG66" s="400">
        <f t="shared" si="293"/>
        <v>0</v>
      </c>
      <c r="FH66" s="400">
        <f t="shared" si="293"/>
        <v>0</v>
      </c>
      <c r="FI66" s="400">
        <f t="shared" si="293"/>
        <v>0</v>
      </c>
      <c r="FJ66" s="400">
        <f t="shared" si="293"/>
        <v>0</v>
      </c>
      <c r="FK66" s="400">
        <f t="shared" si="293"/>
        <v>0</v>
      </c>
      <c r="FL66" s="400">
        <f t="shared" si="293"/>
        <v>0</v>
      </c>
      <c r="FM66" s="400">
        <f t="shared" si="293"/>
        <v>0</v>
      </c>
      <c r="FN66" s="400">
        <f t="shared" si="293"/>
        <v>0</v>
      </c>
      <c r="FO66" s="400">
        <f t="shared" si="293"/>
        <v>0</v>
      </c>
      <c r="FP66" s="400">
        <f t="shared" si="293"/>
        <v>0</v>
      </c>
      <c r="FQ66" s="400">
        <f t="shared" si="293"/>
        <v>0</v>
      </c>
      <c r="FR66" s="363">
        <f t="shared" si="197"/>
        <v>0</v>
      </c>
      <c r="FS66" s="260" t="e">
        <f t="shared" si="198"/>
        <v>#DIV/0!</v>
      </c>
      <c r="FV66" s="259"/>
      <c r="GC66" s="245"/>
      <c r="GD66" s="246">
        <v>0</v>
      </c>
      <c r="GE66" s="247" t="str">
        <f>IF(GD66=0%,"No Incluido","Adaptado")</f>
        <v>No Incluido</v>
      </c>
      <c r="GF66" s="248"/>
      <c r="GG66" s="245" t="s">
        <v>433</v>
      </c>
      <c r="GH66" s="246">
        <v>0</v>
      </c>
      <c r="GI66" s="247" t="str">
        <f>IF(GH66=0%,"No Incluido","Adaptado")</f>
        <v>No Incluido</v>
      </c>
      <c r="GJ66" s="262"/>
      <c r="HD66" s="65" t="s">
        <v>541</v>
      </c>
      <c r="HE66" s="66">
        <v>0</v>
      </c>
      <c r="HF66" s="67">
        <f t="shared" si="251"/>
        <v>0</v>
      </c>
      <c r="HG66" s="68">
        <f t="shared" si="252"/>
        <v>0</v>
      </c>
      <c r="HH66" s="69">
        <v>1</v>
      </c>
      <c r="HI66" s="367">
        <v>0</v>
      </c>
      <c r="HJ66" s="143"/>
      <c r="HM66" s="283"/>
      <c r="HN66" s="432">
        <v>45231</v>
      </c>
      <c r="HO66" s="285"/>
      <c r="HP66" s="283"/>
      <c r="HQ66" s="286"/>
      <c r="HR66" s="283"/>
      <c r="HS66" s="286"/>
      <c r="HT66" s="283"/>
      <c r="HU66" s="286"/>
      <c r="HV66" s="283"/>
      <c r="HW66" s="286"/>
      <c r="HX66" s="283"/>
      <c r="HY66" s="286"/>
      <c r="HZ66" s="283"/>
      <c r="IA66" s="286"/>
      <c r="IB66" s="283"/>
      <c r="IC66" s="286"/>
      <c r="ID66" s="283"/>
      <c r="IE66" s="286"/>
      <c r="IF66" s="283"/>
      <c r="IG66" s="286"/>
      <c r="IH66" s="283"/>
      <c r="II66" s="286"/>
      <c r="IJ66" s="283"/>
      <c r="IK66" s="286"/>
      <c r="IL66" s="283"/>
      <c r="IM66" s="288"/>
    </row>
    <row r="67" spans="39:247" ht="14.4" customHeight="1" x14ac:dyDescent="0.3">
      <c r="AM67" s="368">
        <f t="shared" si="270"/>
        <v>0</v>
      </c>
      <c r="AN67" s="368">
        <f t="shared" si="271"/>
        <v>0</v>
      </c>
      <c r="AO67" s="368">
        <f t="shared" si="272"/>
        <v>0</v>
      </c>
      <c r="AP67" s="368">
        <f t="shared" si="273"/>
        <v>0</v>
      </c>
      <c r="AQ67" s="369" t="s">
        <v>782</v>
      </c>
      <c r="AR67" s="297">
        <f t="shared" si="274"/>
        <v>0</v>
      </c>
      <c r="AS67" s="370" t="e">
        <f t="shared" si="267"/>
        <v>#DIV/0!</v>
      </c>
      <c r="AT67" s="525"/>
      <c r="AU67" s="525"/>
      <c r="AV67" s="299">
        <v>0</v>
      </c>
      <c r="AW67" s="300">
        <v>0</v>
      </c>
      <c r="AX67" s="301"/>
      <c r="BH67" s="525" t="s">
        <v>307</v>
      </c>
      <c r="BI67" s="525" t="e">
        <f>SUM(BJ67:BJ75)</f>
        <v>#DIV/0!</v>
      </c>
      <c r="BJ67" s="370" t="e">
        <f>$AS$64</f>
        <v>#DIV/0!</v>
      </c>
      <c r="BK67" s="242" t="str">
        <f t="shared" si="277"/>
        <v>C9</v>
      </c>
      <c r="BL67" s="433">
        <f>Tabla24[[#This Row],[Columna3]]/7</f>
        <v>0</v>
      </c>
      <c r="BM67" s="433">
        <f>Tabla24[[#This Row],[Columna4]]/4.2</f>
        <v>0</v>
      </c>
      <c r="BN67" s="433">
        <f t="shared" si="278"/>
        <v>0</v>
      </c>
      <c r="BO67" s="433">
        <f t="shared" si="279"/>
        <v>0</v>
      </c>
      <c r="BP67" s="433">
        <f t="shared" si="280"/>
        <v>0</v>
      </c>
      <c r="BQ67" s="433">
        <f t="shared" si="281"/>
        <v>0</v>
      </c>
      <c r="BR67" s="433">
        <f t="shared" si="282"/>
        <v>0</v>
      </c>
      <c r="BS67" s="433">
        <f t="shared" si="283"/>
        <v>0</v>
      </c>
      <c r="BT67" s="433">
        <f t="shared" si="284"/>
        <v>0</v>
      </c>
      <c r="BU67" s="433">
        <f t="shared" si="285"/>
        <v>0</v>
      </c>
      <c r="BV67" s="433">
        <f t="shared" si="286"/>
        <v>0</v>
      </c>
      <c r="BW67" s="433">
        <f t="shared" si="287"/>
        <v>0</v>
      </c>
      <c r="BX67" s="433">
        <f t="shared" si="288"/>
        <v>0</v>
      </c>
      <c r="BY67" s="433">
        <f t="shared" si="289"/>
        <v>0</v>
      </c>
      <c r="BZ67" s="433">
        <f t="shared" si="290"/>
        <v>0</v>
      </c>
      <c r="CB67" s="525" t="s">
        <v>307</v>
      </c>
      <c r="CC67" s="525" t="e">
        <f>SUM(CD67:CD75)</f>
        <v>#DIV/0!</v>
      </c>
      <c r="CD67" s="370" t="e">
        <f>$AS$64</f>
        <v>#DIV/0!</v>
      </c>
      <c r="CE67" s="242" t="str">
        <f>Tabla24[[#This Row],[Columna1]]</f>
        <v>C9</v>
      </c>
      <c r="CF67" s="433">
        <f>Tabla2410[[#This Row],[Columna3]]/7</f>
        <v>0</v>
      </c>
      <c r="CG67" s="433">
        <f>Tabla2410[[#This Row],[Columna4]]/4.2</f>
        <v>0</v>
      </c>
      <c r="CH67" s="433">
        <f>Tabla24[[#This Row],[Columna16]]</f>
        <v>0</v>
      </c>
      <c r="CI67" s="433" t="e">
        <f>(Tabla2410[[#This Row],[Columna4]]*CI$56/$BZ$56)*$CH$55</f>
        <v>#DIV/0!</v>
      </c>
      <c r="CJ67" s="433" t="e">
        <f>(Tabla2410[[#This Row],[Columna4]]*CJ$56/$BZ$56)*$CH$55</f>
        <v>#DIV/0!</v>
      </c>
      <c r="CK67" s="433" t="e">
        <f>(Tabla2410[[#This Row],[Columna4]]*CK$56/$BZ$56)*$CH$55</f>
        <v>#DIV/0!</v>
      </c>
      <c r="CL67" s="433" t="e">
        <f>(Tabla2410[[#This Row],[Columna4]]*CL$56/$BZ$56)*$CH$55</f>
        <v>#DIV/0!</v>
      </c>
      <c r="CM67" s="433" t="e">
        <f>(Tabla2410[[#This Row],[Columna4]]*CM$56/$BZ$56)*$CH$55</f>
        <v>#DIV/0!</v>
      </c>
      <c r="CN67" s="433" t="e">
        <f>(Tabla2410[[#This Row],[Columna4]]*CN$56/$BZ$56)*$CH$55</f>
        <v>#DIV/0!</v>
      </c>
      <c r="CO67" s="433" t="e">
        <f>(Tabla2410[[#This Row],[Columna4]]*CO$56/$BZ$56)*$CH$55</f>
        <v>#DIV/0!</v>
      </c>
      <c r="CP67" s="433" t="e">
        <f>(Tabla2410[[#This Row],[Columna4]]*CP$56/$BZ$56)*$CH$55</f>
        <v>#DIV/0!</v>
      </c>
      <c r="CQ67" s="433" t="e">
        <f>(Tabla2410[[#This Row],[Columna4]]*CQ$56/$BZ$56)*$CH$55</f>
        <v>#DIV/0!</v>
      </c>
      <c r="CR67" s="433" t="e">
        <f>(Tabla2410[[#This Row],[Columna4]]*CR$56/$BZ$56)*$CH$55</f>
        <v>#DIV/0!</v>
      </c>
      <c r="CS67" s="433" t="e">
        <f>(Tabla2410[[#This Row],[Columna4]]*CS$56/$BZ$56)*$CH$55</f>
        <v>#DIV/0!</v>
      </c>
      <c r="CT67" s="433" t="e">
        <f>(Tabla2410[[#This Row],[Columna4]]*CT$56/$BZ$56)*$CH$55</f>
        <v>#DIV/0!</v>
      </c>
      <c r="CV67" s="525" t="s">
        <v>307</v>
      </c>
      <c r="CW67" s="525" t="e">
        <f>SUM(CX67:CX75)</f>
        <v>#DIV/0!</v>
      </c>
      <c r="CX67" s="370" t="e">
        <f>$AS$64</f>
        <v>#DIV/0!</v>
      </c>
      <c r="CY67" s="242" t="str">
        <f>Tabla24[[#This Row],[Columna1]]</f>
        <v>C9</v>
      </c>
      <c r="CZ67" s="433" t="e">
        <f>Tabla24105[[#This Row],[Columna3]]/7</f>
        <v>#DIV/0!</v>
      </c>
      <c r="DA67" s="433" t="e">
        <f>Tabla24105[[#This Row],[Columna4]]/4.2</f>
        <v>#DIV/0!</v>
      </c>
      <c r="DB67" s="433" t="e">
        <f>Tabla2410[[#This Row],[Columna16]]</f>
        <v>#DIV/0!</v>
      </c>
      <c r="DC67" s="433" t="e">
        <f>(Tabla24105[[#This Row],[Columna4]]*DC$56/$CT$56)*$DB$55</f>
        <v>#DIV/0!</v>
      </c>
      <c r="DD67" s="433" t="e">
        <f>(Tabla24105[[#This Row],[Columna4]]*DD$56/$CT$56)*$DB$55</f>
        <v>#DIV/0!</v>
      </c>
      <c r="DE67" s="433" t="e">
        <f>(Tabla24105[[#This Row],[Columna4]]*DE$56/$CT$56)*$DB$55</f>
        <v>#DIV/0!</v>
      </c>
      <c r="DF67" s="433" t="e">
        <f>(Tabla24105[[#This Row],[Columna4]]*DF$56/$CT$56)*$DB$55</f>
        <v>#DIV/0!</v>
      </c>
      <c r="DG67" s="433" t="e">
        <f>(Tabla24105[[#This Row],[Columna4]]*DG$56/$CT$56)*$DB$55</f>
        <v>#DIV/0!</v>
      </c>
      <c r="DH67" s="433" t="e">
        <f>(Tabla24105[[#This Row],[Columna4]]*DH$56/$CT$56)*$DB$55</f>
        <v>#DIV/0!</v>
      </c>
      <c r="DI67" s="433" t="e">
        <f>(Tabla24105[[#This Row],[Columna4]]*DI$56/$CT$56)*$DB$55</f>
        <v>#DIV/0!</v>
      </c>
      <c r="DJ67" s="433" t="e">
        <f>(Tabla24105[[#This Row],[Columna4]]*DJ$56/$CT$56)*$DB$55</f>
        <v>#DIV/0!</v>
      </c>
      <c r="DK67" s="433" t="e">
        <f>(Tabla24105[[#This Row],[Columna4]]*DK$56/$CT$56)*$DB$55</f>
        <v>#DIV/0!</v>
      </c>
      <c r="DL67" s="433" t="e">
        <f>(Tabla24105[[#This Row],[Columna4]]*DL$56/$CT$56)*$DB$55</f>
        <v>#DIV/0!</v>
      </c>
      <c r="DM67" s="433" t="e">
        <f>(Tabla24105[[#This Row],[Columna4]]*DM$56/$CT$56)*$DB$55</f>
        <v>#DIV/0!</v>
      </c>
      <c r="DN67" s="433" t="e">
        <f>(Tabla24105[[#This Row],[Columna4]]*DN$56/$CT$56)*$DB$55</f>
        <v>#DIV/0!</v>
      </c>
      <c r="DP67" s="525" t="s">
        <v>307</v>
      </c>
      <c r="DQ67" s="525" t="e">
        <f>SUM(DR67:DR75)</f>
        <v>#DIV/0!</v>
      </c>
      <c r="DR67" s="370" t="e">
        <f>$AS$64</f>
        <v>#DIV/0!</v>
      </c>
      <c r="DS67" s="242" t="str">
        <f>Tabla24[[#This Row],[Columna1]]</f>
        <v>C9</v>
      </c>
      <c r="DT67" s="433" t="e">
        <f>Tabla241057[[#This Row],[Columna3]]/7</f>
        <v>#DIV/0!</v>
      </c>
      <c r="DU67" s="433" t="e">
        <f>Tabla241057[[#This Row],[Columna4]]/4.2</f>
        <v>#DIV/0!</v>
      </c>
      <c r="DV67" s="433" t="e">
        <f>Tabla24105[[#This Row],[Columna16]]</f>
        <v>#DIV/0!</v>
      </c>
      <c r="DW67" s="433" t="e">
        <f>(Tabla241057[[#This Row],[Columna4]]*DW$56/$DN$56)*$DV$55</f>
        <v>#DIV/0!</v>
      </c>
      <c r="DX67" s="433" t="e">
        <f>(Tabla241057[[#This Row],[Columna4]]*DX$56/$DN$56)*$DV$55</f>
        <v>#DIV/0!</v>
      </c>
      <c r="DY67" s="433" t="e">
        <f>(Tabla241057[[#This Row],[Columna4]]*DY$56/$DN$56)*$DV$55</f>
        <v>#DIV/0!</v>
      </c>
      <c r="DZ67" s="433" t="e">
        <f>(Tabla241057[[#This Row],[Columna4]]*DZ$56/$DN$56)*$DV$55</f>
        <v>#DIV/0!</v>
      </c>
      <c r="EA67" s="433" t="e">
        <f>(Tabla241057[[#This Row],[Columna4]]*EA$56/$DN$56)*$DV$55</f>
        <v>#DIV/0!</v>
      </c>
      <c r="EB67" s="433" t="e">
        <f>(Tabla241057[[#This Row],[Columna4]]*EB$56/$DN$56)*$DV$55</f>
        <v>#DIV/0!</v>
      </c>
      <c r="EC67" s="433" t="e">
        <f>(Tabla241057[[#This Row],[Columna4]]*EC$56/$DN$56)*$DV$55</f>
        <v>#DIV/0!</v>
      </c>
      <c r="ED67" s="433" t="e">
        <f>(Tabla241057[[#This Row],[Columna4]]*ED$56/$DN$56)*$DV$55</f>
        <v>#DIV/0!</v>
      </c>
      <c r="EE67" s="433" t="e">
        <f>(Tabla241057[[#This Row],[Columna4]]*EE$56/$DN$56)*$DV$55</f>
        <v>#DIV/0!</v>
      </c>
      <c r="EF67" s="433" t="e">
        <f>(Tabla241057[[#This Row],[Columna4]]*EF$56/$DN$56)*$DV$55</f>
        <v>#DIV/0!</v>
      </c>
      <c r="EG67" s="433" t="e">
        <f>(Tabla241057[[#This Row],[Columna4]]*EG$56/$DN$56)*$DV$55</f>
        <v>#DIV/0!</v>
      </c>
      <c r="EH67" s="433" t="e">
        <f>(Tabla241057[[#This Row],[Columna4]]*EH$56/$DN$56)*$DV$55</f>
        <v>#DIV/0!</v>
      </c>
      <c r="EJ67" s="525" t="s">
        <v>307</v>
      </c>
      <c r="EK67" s="525" t="e">
        <f>SUM(EL67:EL75)</f>
        <v>#DIV/0!</v>
      </c>
      <c r="EL67" s="370" t="e">
        <f>$AS$64</f>
        <v>#DIV/0!</v>
      </c>
      <c r="EM67" s="242" t="str">
        <f>Tabla24[[#This Row],[Columna1]]</f>
        <v>C9</v>
      </c>
      <c r="EN67" s="433" t="e">
        <f>Tabla24105711[[#This Row],[Columna3]]/7</f>
        <v>#DIV/0!</v>
      </c>
      <c r="EO67" s="433" t="e">
        <f>Tabla24105711[[#This Row],[Columna4]]/4.2</f>
        <v>#DIV/0!</v>
      </c>
      <c r="EP67" s="433" t="e">
        <f>Tabla241057[[#This Row],[Columna16]]</f>
        <v>#DIV/0!</v>
      </c>
      <c r="EQ67" s="433" t="e">
        <f>(Tabla24105711[[#This Row],[Columna4]]*EQ$56/$EH$56)*$EP$55</f>
        <v>#DIV/0!</v>
      </c>
      <c r="ER67" s="433" t="e">
        <f>(Tabla24105711[[#This Row],[Columna4]]*ER$56/$EH$56)*$EP$55</f>
        <v>#DIV/0!</v>
      </c>
      <c r="ES67" s="433" t="e">
        <f>(Tabla24105711[[#This Row],[Columna4]]*ES$56/$EH$56)*$EP$55</f>
        <v>#DIV/0!</v>
      </c>
      <c r="ET67" s="433" t="e">
        <f>(Tabla24105711[[#This Row],[Columna4]]*ET$56/$EH$56)*$EP$55</f>
        <v>#DIV/0!</v>
      </c>
      <c r="EU67" s="433" t="e">
        <f>(Tabla24105711[[#This Row],[Columna4]]*EU$56/$EH$56)*$EP$55</f>
        <v>#DIV/0!</v>
      </c>
      <c r="EV67" s="433" t="e">
        <f>(Tabla24105711[[#This Row],[Columna4]]*EV$56/$EH$56)*$EP$55</f>
        <v>#DIV/0!</v>
      </c>
      <c r="EW67" s="433" t="e">
        <f>(Tabla24105711[[#This Row],[Columna4]]*EW$56/$EH$56)*$EP$55</f>
        <v>#DIV/0!</v>
      </c>
      <c r="EX67" s="433" t="e">
        <f>(Tabla24105711[[#This Row],[Columna4]]*EX$56/$EH$56)*$EP$55</f>
        <v>#DIV/0!</v>
      </c>
      <c r="EY67" s="433" t="e">
        <f>(Tabla24105711[[#This Row],[Columna4]]*EY$56/$EH$56)*$EP$55</f>
        <v>#DIV/0!</v>
      </c>
      <c r="EZ67" s="433" t="e">
        <f>(Tabla24105711[[#This Row],[Columna4]]*EZ$56/$EH$56)*$EP$55</f>
        <v>#DIV/0!</v>
      </c>
      <c r="FA67" s="433" t="e">
        <f>(Tabla24105711[[#This Row],[Columna4]]*FA$56/$EH$56)*$EP$55</f>
        <v>#DIV/0!</v>
      </c>
      <c r="FB67" s="433" t="e">
        <f>(Tabla24105711[[#This Row],[Columna4]]*FB$56/$EH$56)*$EP$55</f>
        <v>#DIV/0!</v>
      </c>
      <c r="FD67" s="397" t="s">
        <v>91</v>
      </c>
      <c r="FE67" s="399" t="s">
        <v>88</v>
      </c>
      <c r="FF67" s="400">
        <f t="shared" si="293"/>
        <v>0</v>
      </c>
      <c r="FG67" s="400">
        <f t="shared" si="293"/>
        <v>0</v>
      </c>
      <c r="FH67" s="400">
        <f t="shared" si="293"/>
        <v>0</v>
      </c>
      <c r="FI67" s="400">
        <f t="shared" si="293"/>
        <v>0</v>
      </c>
      <c r="FJ67" s="400">
        <f t="shared" si="293"/>
        <v>0</v>
      </c>
      <c r="FK67" s="400">
        <f t="shared" si="293"/>
        <v>0</v>
      </c>
      <c r="FL67" s="400">
        <f t="shared" si="293"/>
        <v>0</v>
      </c>
      <c r="FM67" s="400">
        <f t="shared" si="293"/>
        <v>0</v>
      </c>
      <c r="FN67" s="400">
        <f t="shared" si="293"/>
        <v>0</v>
      </c>
      <c r="FO67" s="400">
        <f t="shared" si="293"/>
        <v>0</v>
      </c>
      <c r="FP67" s="400">
        <f t="shared" si="293"/>
        <v>0</v>
      </c>
      <c r="FQ67" s="400">
        <f t="shared" si="293"/>
        <v>0</v>
      </c>
      <c r="FR67" s="363">
        <f t="shared" si="197"/>
        <v>0</v>
      </c>
      <c r="FS67" s="260" t="e">
        <f t="shared" si="198"/>
        <v>#DIV/0!</v>
      </c>
      <c r="FT67" s="550"/>
      <c r="FV67" s="275" t="s">
        <v>1</v>
      </c>
      <c r="FW67" s="276" t="s">
        <v>2</v>
      </c>
      <c r="FX67" s="276" t="s">
        <v>3</v>
      </c>
      <c r="FY67" s="276" t="s">
        <v>4</v>
      </c>
      <c r="FZ67" s="276" t="s">
        <v>5</v>
      </c>
      <c r="GA67" s="276" t="s">
        <v>6</v>
      </c>
      <c r="GB67" s="276" t="s">
        <v>7</v>
      </c>
      <c r="GC67" s="276" t="s">
        <v>8</v>
      </c>
      <c r="GD67" s="276" t="s">
        <v>9</v>
      </c>
      <c r="GE67" s="276" t="s">
        <v>10</v>
      </c>
      <c r="GF67" s="276" t="s">
        <v>11</v>
      </c>
      <c r="GG67" s="279" t="s">
        <v>12</v>
      </c>
      <c r="GH67" s="276" t="s">
        <v>13</v>
      </c>
      <c r="GI67" s="277" t="s">
        <v>14</v>
      </c>
      <c r="GJ67" s="280"/>
      <c r="HD67" s="65" t="s">
        <v>542</v>
      </c>
      <c r="HE67" s="66">
        <v>0</v>
      </c>
      <c r="HF67" s="67">
        <f t="shared" si="251"/>
        <v>0</v>
      </c>
      <c r="HG67" s="68">
        <f t="shared" si="252"/>
        <v>0</v>
      </c>
      <c r="HH67" s="69">
        <v>1</v>
      </c>
      <c r="HI67" s="367">
        <v>0</v>
      </c>
      <c r="HJ67" s="143"/>
      <c r="HM67" s="283"/>
      <c r="HN67" s="432">
        <v>45261</v>
      </c>
      <c r="HO67" s="285"/>
      <c r="HP67" s="283"/>
      <c r="HQ67" s="286"/>
      <c r="HR67" s="283"/>
      <c r="HS67" s="286"/>
      <c r="HT67" s="283"/>
      <c r="HU67" s="286"/>
      <c r="HV67" s="283"/>
      <c r="HW67" s="286"/>
      <c r="HX67" s="283"/>
      <c r="HY67" s="286"/>
      <c r="HZ67" s="283"/>
      <c r="IA67" s="286"/>
      <c r="IB67" s="283"/>
      <c r="IC67" s="286"/>
      <c r="ID67" s="283"/>
      <c r="IE67" s="286"/>
      <c r="IF67" s="283"/>
      <c r="IG67" s="286"/>
      <c r="IH67" s="283"/>
      <c r="II67" s="286"/>
      <c r="IJ67" s="283"/>
      <c r="IK67" s="286"/>
      <c r="IL67" s="283"/>
      <c r="IM67" s="288"/>
    </row>
    <row r="68" spans="39:247" ht="14.4" customHeight="1" x14ac:dyDescent="0.3">
      <c r="AM68" s="368">
        <f t="shared" si="270"/>
        <v>0</v>
      </c>
      <c r="AN68" s="368">
        <f t="shared" si="271"/>
        <v>0</v>
      </c>
      <c r="AO68" s="368">
        <f t="shared" si="272"/>
        <v>0</v>
      </c>
      <c r="AP68" s="368">
        <f t="shared" si="273"/>
        <v>0</v>
      </c>
      <c r="AQ68" s="369" t="s">
        <v>784</v>
      </c>
      <c r="AR68" s="297">
        <f t="shared" si="274"/>
        <v>0</v>
      </c>
      <c r="AS68" s="370" t="e">
        <f t="shared" si="267"/>
        <v>#DIV/0!</v>
      </c>
      <c r="AT68" s="525"/>
      <c r="AU68" s="525"/>
      <c r="AV68" s="299">
        <v>0</v>
      </c>
      <c r="AW68" s="300">
        <v>0</v>
      </c>
      <c r="AX68" s="301"/>
      <c r="BH68" s="525"/>
      <c r="BI68" s="525"/>
      <c r="BJ68" s="370" t="e">
        <f>$AS$65</f>
        <v>#DIV/0!</v>
      </c>
      <c r="BK68" s="242" t="str">
        <f t="shared" si="277"/>
        <v>C10</v>
      </c>
      <c r="BL68" s="433">
        <f>Tabla24[[#This Row],[Columna3]]/7</f>
        <v>0</v>
      </c>
      <c r="BM68" s="433">
        <f>Tabla24[[#This Row],[Columna4]]/4.2</f>
        <v>0</v>
      </c>
      <c r="BN68" s="433">
        <f t="shared" si="278"/>
        <v>0</v>
      </c>
      <c r="BO68" s="433">
        <f t="shared" si="279"/>
        <v>0</v>
      </c>
      <c r="BP68" s="433">
        <f t="shared" si="280"/>
        <v>0</v>
      </c>
      <c r="BQ68" s="433">
        <f t="shared" si="281"/>
        <v>0</v>
      </c>
      <c r="BR68" s="433">
        <f t="shared" si="282"/>
        <v>0</v>
      </c>
      <c r="BS68" s="433">
        <f t="shared" si="283"/>
        <v>0</v>
      </c>
      <c r="BT68" s="433">
        <f t="shared" si="284"/>
        <v>0</v>
      </c>
      <c r="BU68" s="433">
        <f t="shared" si="285"/>
        <v>0</v>
      </c>
      <c r="BV68" s="433">
        <f t="shared" si="286"/>
        <v>0</v>
      </c>
      <c r="BW68" s="433">
        <f t="shared" si="287"/>
        <v>0</v>
      </c>
      <c r="BX68" s="433">
        <f t="shared" si="288"/>
        <v>0</v>
      </c>
      <c r="BY68" s="433">
        <f t="shared" si="289"/>
        <v>0</v>
      </c>
      <c r="BZ68" s="433">
        <f t="shared" si="290"/>
        <v>0</v>
      </c>
      <c r="CB68" s="525"/>
      <c r="CC68" s="525"/>
      <c r="CD68" s="370" t="e">
        <f>$AS$65</f>
        <v>#DIV/0!</v>
      </c>
      <c r="CE68" s="242" t="str">
        <f>Tabla24[[#This Row],[Columna1]]</f>
        <v>C10</v>
      </c>
      <c r="CF68" s="433">
        <f>Tabla2410[[#This Row],[Columna3]]/7</f>
        <v>0</v>
      </c>
      <c r="CG68" s="433">
        <f>Tabla2410[[#This Row],[Columna4]]/4.2</f>
        <v>0</v>
      </c>
      <c r="CH68" s="433">
        <f>Tabla24[[#This Row],[Columna16]]</f>
        <v>0</v>
      </c>
      <c r="CI68" s="433" t="e">
        <f>(Tabla2410[[#This Row],[Columna4]]*CI$56/$BZ$56)*$CH$55</f>
        <v>#DIV/0!</v>
      </c>
      <c r="CJ68" s="433" t="e">
        <f>(Tabla2410[[#This Row],[Columna4]]*CJ$56/$BZ$56)*$CH$55</f>
        <v>#DIV/0!</v>
      </c>
      <c r="CK68" s="433" t="e">
        <f>(Tabla2410[[#This Row],[Columna4]]*CK$56/$BZ$56)*$CH$55</f>
        <v>#DIV/0!</v>
      </c>
      <c r="CL68" s="433" t="e">
        <f>(Tabla2410[[#This Row],[Columna4]]*CL$56/$BZ$56)*$CH$55</f>
        <v>#DIV/0!</v>
      </c>
      <c r="CM68" s="433" t="e">
        <f>(Tabla2410[[#This Row],[Columna4]]*CM$56/$BZ$56)*$CH$55</f>
        <v>#DIV/0!</v>
      </c>
      <c r="CN68" s="433" t="e">
        <f>(Tabla2410[[#This Row],[Columna4]]*CN$56/$BZ$56)*$CH$55</f>
        <v>#DIV/0!</v>
      </c>
      <c r="CO68" s="433" t="e">
        <f>(Tabla2410[[#This Row],[Columna4]]*CO$56/$BZ$56)*$CH$55</f>
        <v>#DIV/0!</v>
      </c>
      <c r="CP68" s="433" t="e">
        <f>(Tabla2410[[#This Row],[Columna4]]*CP$56/$BZ$56)*$CH$55</f>
        <v>#DIV/0!</v>
      </c>
      <c r="CQ68" s="433" t="e">
        <f>(Tabla2410[[#This Row],[Columna4]]*CQ$56/$BZ$56)*$CH$55</f>
        <v>#DIV/0!</v>
      </c>
      <c r="CR68" s="433" t="e">
        <f>(Tabla2410[[#This Row],[Columna4]]*CR$56/$BZ$56)*$CH$55</f>
        <v>#DIV/0!</v>
      </c>
      <c r="CS68" s="433" t="e">
        <f>(Tabla2410[[#This Row],[Columna4]]*CS$56/$BZ$56)*$CH$55</f>
        <v>#DIV/0!</v>
      </c>
      <c r="CT68" s="433" t="e">
        <f>(Tabla2410[[#This Row],[Columna4]]*CT$56/$BZ$56)*$CH$55</f>
        <v>#DIV/0!</v>
      </c>
      <c r="CV68" s="525"/>
      <c r="CW68" s="525"/>
      <c r="CX68" s="370" t="e">
        <f>$AS$65</f>
        <v>#DIV/0!</v>
      </c>
      <c r="CY68" s="242" t="str">
        <f>Tabla24[[#This Row],[Columna1]]</f>
        <v>C10</v>
      </c>
      <c r="CZ68" s="433" t="e">
        <f>Tabla24105[[#This Row],[Columna3]]/7</f>
        <v>#DIV/0!</v>
      </c>
      <c r="DA68" s="433" t="e">
        <f>Tabla24105[[#This Row],[Columna4]]/4.2</f>
        <v>#DIV/0!</v>
      </c>
      <c r="DB68" s="433" t="e">
        <f>Tabla2410[[#This Row],[Columna16]]</f>
        <v>#DIV/0!</v>
      </c>
      <c r="DC68" s="433" t="e">
        <f>(Tabla24105[[#This Row],[Columna4]]*DC$56/$CT$56)*$DB$55</f>
        <v>#DIV/0!</v>
      </c>
      <c r="DD68" s="433" t="e">
        <f>(Tabla24105[[#This Row],[Columna4]]*DD$56/$CT$56)*$DB$55</f>
        <v>#DIV/0!</v>
      </c>
      <c r="DE68" s="433" t="e">
        <f>(Tabla24105[[#This Row],[Columna4]]*DE$56/$CT$56)*$DB$55</f>
        <v>#DIV/0!</v>
      </c>
      <c r="DF68" s="433" t="e">
        <f>(Tabla24105[[#This Row],[Columna4]]*DF$56/$CT$56)*$DB$55</f>
        <v>#DIV/0!</v>
      </c>
      <c r="DG68" s="433" t="e">
        <f>(Tabla24105[[#This Row],[Columna4]]*DG$56/$CT$56)*$DB$55</f>
        <v>#DIV/0!</v>
      </c>
      <c r="DH68" s="433" t="e">
        <f>(Tabla24105[[#This Row],[Columna4]]*DH$56/$CT$56)*$DB$55</f>
        <v>#DIV/0!</v>
      </c>
      <c r="DI68" s="433" t="e">
        <f>(Tabla24105[[#This Row],[Columna4]]*DI$56/$CT$56)*$DB$55</f>
        <v>#DIV/0!</v>
      </c>
      <c r="DJ68" s="433" t="e">
        <f>(Tabla24105[[#This Row],[Columna4]]*DJ$56/$CT$56)*$DB$55</f>
        <v>#DIV/0!</v>
      </c>
      <c r="DK68" s="433" t="e">
        <f>(Tabla24105[[#This Row],[Columna4]]*DK$56/$CT$56)*$DB$55</f>
        <v>#DIV/0!</v>
      </c>
      <c r="DL68" s="433" t="e">
        <f>(Tabla24105[[#This Row],[Columna4]]*DL$56/$CT$56)*$DB$55</f>
        <v>#DIV/0!</v>
      </c>
      <c r="DM68" s="433" t="e">
        <f>(Tabla24105[[#This Row],[Columna4]]*DM$56/$CT$56)*$DB$55</f>
        <v>#DIV/0!</v>
      </c>
      <c r="DN68" s="433" t="e">
        <f>(Tabla24105[[#This Row],[Columna4]]*DN$56/$CT$56)*$DB$55</f>
        <v>#DIV/0!</v>
      </c>
      <c r="DP68" s="525"/>
      <c r="DQ68" s="525"/>
      <c r="DR68" s="370" t="e">
        <f>$AS$65</f>
        <v>#DIV/0!</v>
      </c>
      <c r="DS68" s="242" t="str">
        <f>Tabla24[[#This Row],[Columna1]]</f>
        <v>C10</v>
      </c>
      <c r="DT68" s="433" t="e">
        <f>Tabla241057[[#This Row],[Columna3]]/7</f>
        <v>#DIV/0!</v>
      </c>
      <c r="DU68" s="433" t="e">
        <f>Tabla241057[[#This Row],[Columna4]]/4.2</f>
        <v>#DIV/0!</v>
      </c>
      <c r="DV68" s="433" t="e">
        <f>Tabla24105[[#This Row],[Columna16]]</f>
        <v>#DIV/0!</v>
      </c>
      <c r="DW68" s="433" t="e">
        <f>(Tabla241057[[#This Row],[Columna4]]*DW$56/$DN$56)*$DV$55</f>
        <v>#DIV/0!</v>
      </c>
      <c r="DX68" s="433" t="e">
        <f>(Tabla241057[[#This Row],[Columna4]]*DX$56/$DN$56)*$DV$55</f>
        <v>#DIV/0!</v>
      </c>
      <c r="DY68" s="433" t="e">
        <f>(Tabla241057[[#This Row],[Columna4]]*DY$56/$DN$56)*$DV$55</f>
        <v>#DIV/0!</v>
      </c>
      <c r="DZ68" s="433" t="e">
        <f>(Tabla241057[[#This Row],[Columna4]]*DZ$56/$DN$56)*$DV$55</f>
        <v>#DIV/0!</v>
      </c>
      <c r="EA68" s="433" t="e">
        <f>(Tabla241057[[#This Row],[Columna4]]*EA$56/$DN$56)*$DV$55</f>
        <v>#DIV/0!</v>
      </c>
      <c r="EB68" s="433" t="e">
        <f>(Tabla241057[[#This Row],[Columna4]]*EB$56/$DN$56)*$DV$55</f>
        <v>#DIV/0!</v>
      </c>
      <c r="EC68" s="433" t="e">
        <f>(Tabla241057[[#This Row],[Columna4]]*EC$56/$DN$56)*$DV$55</f>
        <v>#DIV/0!</v>
      </c>
      <c r="ED68" s="433" t="e">
        <f>(Tabla241057[[#This Row],[Columna4]]*ED$56/$DN$56)*$DV$55</f>
        <v>#DIV/0!</v>
      </c>
      <c r="EE68" s="433" t="e">
        <f>(Tabla241057[[#This Row],[Columna4]]*EE$56/$DN$56)*$DV$55</f>
        <v>#DIV/0!</v>
      </c>
      <c r="EF68" s="433" t="e">
        <f>(Tabla241057[[#This Row],[Columna4]]*EF$56/$DN$56)*$DV$55</f>
        <v>#DIV/0!</v>
      </c>
      <c r="EG68" s="433" t="e">
        <f>(Tabla241057[[#This Row],[Columna4]]*EG$56/$DN$56)*$DV$55</f>
        <v>#DIV/0!</v>
      </c>
      <c r="EH68" s="433" t="e">
        <f>(Tabla241057[[#This Row],[Columna4]]*EH$56/$DN$56)*$DV$55</f>
        <v>#DIV/0!</v>
      </c>
      <c r="EJ68" s="525"/>
      <c r="EK68" s="525"/>
      <c r="EL68" s="370" t="e">
        <f>$AS$65</f>
        <v>#DIV/0!</v>
      </c>
      <c r="EM68" s="242" t="str">
        <f>Tabla24[[#This Row],[Columna1]]</f>
        <v>C10</v>
      </c>
      <c r="EN68" s="433" t="e">
        <f>Tabla24105711[[#This Row],[Columna3]]/7</f>
        <v>#DIV/0!</v>
      </c>
      <c r="EO68" s="433" t="e">
        <f>Tabla24105711[[#This Row],[Columna4]]/4.2</f>
        <v>#DIV/0!</v>
      </c>
      <c r="EP68" s="433" t="e">
        <f>Tabla241057[[#This Row],[Columna16]]</f>
        <v>#DIV/0!</v>
      </c>
      <c r="EQ68" s="433" t="e">
        <f>(Tabla24105711[[#This Row],[Columna4]]*EQ$56/$EH$56)*$EP$55</f>
        <v>#DIV/0!</v>
      </c>
      <c r="ER68" s="433" t="e">
        <f>(Tabla24105711[[#This Row],[Columna4]]*ER$56/$EH$56)*$EP$55</f>
        <v>#DIV/0!</v>
      </c>
      <c r="ES68" s="433" t="e">
        <f>(Tabla24105711[[#This Row],[Columna4]]*ES$56/$EH$56)*$EP$55</f>
        <v>#DIV/0!</v>
      </c>
      <c r="ET68" s="433" t="e">
        <f>(Tabla24105711[[#This Row],[Columna4]]*ET$56/$EH$56)*$EP$55</f>
        <v>#DIV/0!</v>
      </c>
      <c r="EU68" s="433" t="e">
        <f>(Tabla24105711[[#This Row],[Columna4]]*EU$56/$EH$56)*$EP$55</f>
        <v>#DIV/0!</v>
      </c>
      <c r="EV68" s="433" t="e">
        <f>(Tabla24105711[[#This Row],[Columna4]]*EV$56/$EH$56)*$EP$55</f>
        <v>#DIV/0!</v>
      </c>
      <c r="EW68" s="433" t="e">
        <f>(Tabla24105711[[#This Row],[Columna4]]*EW$56/$EH$56)*$EP$55</f>
        <v>#DIV/0!</v>
      </c>
      <c r="EX68" s="433" t="e">
        <f>(Tabla24105711[[#This Row],[Columna4]]*EX$56/$EH$56)*$EP$55</f>
        <v>#DIV/0!</v>
      </c>
      <c r="EY68" s="433" t="e">
        <f>(Tabla24105711[[#This Row],[Columna4]]*EY$56/$EH$56)*$EP$55</f>
        <v>#DIV/0!</v>
      </c>
      <c r="EZ68" s="433" t="e">
        <f>(Tabla24105711[[#This Row],[Columna4]]*EZ$56/$EH$56)*$EP$55</f>
        <v>#DIV/0!</v>
      </c>
      <c r="FA68" s="433" t="e">
        <f>(Tabla24105711[[#This Row],[Columna4]]*FA$56/$EH$56)*$EP$55</f>
        <v>#DIV/0!</v>
      </c>
      <c r="FB68" s="433" t="e">
        <f>(Tabla24105711[[#This Row],[Columna4]]*FB$56/$EH$56)*$EP$55</f>
        <v>#DIV/0!</v>
      </c>
      <c r="FD68" s="397" t="s">
        <v>93</v>
      </c>
      <c r="FE68" s="399" t="s">
        <v>90</v>
      </c>
      <c r="FF68" s="400">
        <f t="shared" si="293"/>
        <v>0</v>
      </c>
      <c r="FG68" s="400">
        <f t="shared" si="293"/>
        <v>0</v>
      </c>
      <c r="FH68" s="400">
        <f t="shared" si="293"/>
        <v>0</v>
      </c>
      <c r="FI68" s="400">
        <f t="shared" si="293"/>
        <v>0</v>
      </c>
      <c r="FJ68" s="400">
        <f t="shared" si="293"/>
        <v>0</v>
      </c>
      <c r="FK68" s="400">
        <f t="shared" si="293"/>
        <v>0</v>
      </c>
      <c r="FL68" s="400">
        <f t="shared" si="293"/>
        <v>0</v>
      </c>
      <c r="FM68" s="400">
        <f t="shared" si="293"/>
        <v>0</v>
      </c>
      <c r="FN68" s="400">
        <f t="shared" si="293"/>
        <v>0</v>
      </c>
      <c r="FO68" s="400">
        <f t="shared" si="293"/>
        <v>0</v>
      </c>
      <c r="FP68" s="400">
        <f t="shared" si="293"/>
        <v>0</v>
      </c>
      <c r="FQ68" s="400">
        <f t="shared" si="293"/>
        <v>0</v>
      </c>
      <c r="FR68" s="363">
        <f t="shared" si="197"/>
        <v>0</v>
      </c>
      <c r="FS68" s="260" t="e">
        <f t="shared" si="198"/>
        <v>#DIV/0!</v>
      </c>
      <c r="FV68" s="307" t="s">
        <v>445</v>
      </c>
      <c r="FW68" s="308" t="e">
        <f>$BC$22*(1+GH63+GH64)</f>
        <v>#DIV/0!</v>
      </c>
      <c r="FX68" s="308" t="e">
        <f>$BC$23*(1+GH63+GH64)</f>
        <v>#DIV/0!</v>
      </c>
      <c r="FY68" s="308" t="e">
        <f>$BC$24*(1+GH63+GH64)</f>
        <v>#DIV/0!</v>
      </c>
      <c r="FZ68" s="308" t="e">
        <f>$BC$25*(1+GH63+GH64)</f>
        <v>#DIV/0!</v>
      </c>
      <c r="GA68" s="308" t="e">
        <f>$BC$26*(1+GH63+GH64)</f>
        <v>#DIV/0!</v>
      </c>
      <c r="GB68" s="308" t="e">
        <f>$BC$27*(1+GH63+GH64)</f>
        <v>#DIV/0!</v>
      </c>
      <c r="GC68" s="308" t="e">
        <f>$BC$28*(1+GH63+GH64)</f>
        <v>#DIV/0!</v>
      </c>
      <c r="GD68" s="308" t="e">
        <f>$BC$29*(1+GH63+GH64)</f>
        <v>#DIV/0!</v>
      </c>
      <c r="GE68" s="308" t="e">
        <f>$BC$30*(1+GH63+GH64)</f>
        <v>#DIV/0!</v>
      </c>
      <c r="GF68" s="308" t="e">
        <f>$BC$31*(1+GH63+GH64)</f>
        <v>#DIV/0!</v>
      </c>
      <c r="GG68" s="308" t="e">
        <f>$BC$32*(1+GH63+GH64)</f>
        <v>#DIV/0!</v>
      </c>
      <c r="GH68" s="308" t="e">
        <f>$BC$33</f>
        <v>#DIV/0!</v>
      </c>
      <c r="GI68" s="309" t="e">
        <f>SUM(FW68:GH68)</f>
        <v>#DIV/0!</v>
      </c>
      <c r="GJ68" s="262" t="e">
        <f>GI68/$GI$6</f>
        <v>#DIV/0!</v>
      </c>
      <c r="HD68" s="65" t="s">
        <v>660</v>
      </c>
      <c r="HE68" s="66">
        <v>0</v>
      </c>
      <c r="HF68" s="67">
        <f t="shared" si="251"/>
        <v>0</v>
      </c>
      <c r="HG68" s="68">
        <f t="shared" si="252"/>
        <v>0</v>
      </c>
      <c r="HH68" s="69">
        <v>1</v>
      </c>
      <c r="HI68" s="367">
        <v>0</v>
      </c>
      <c r="HJ68" s="143"/>
      <c r="HM68" s="283"/>
      <c r="HN68" s="283"/>
      <c r="HO68" s="285"/>
      <c r="HP68" s="283"/>
      <c r="HQ68" s="286"/>
      <c r="HR68" s="283"/>
      <c r="HS68" s="286"/>
      <c r="HT68" s="283"/>
      <c r="HU68" s="286"/>
      <c r="HV68" s="283"/>
      <c r="HW68" s="286"/>
      <c r="HX68" s="283"/>
      <c r="HY68" s="286"/>
      <c r="HZ68" s="283"/>
      <c r="IA68" s="286"/>
      <c r="IB68" s="283"/>
      <c r="IC68" s="286"/>
      <c r="ID68" s="283"/>
      <c r="IE68" s="286"/>
      <c r="IF68" s="283"/>
      <c r="IG68" s="286"/>
      <c r="IH68" s="283"/>
      <c r="II68" s="286"/>
      <c r="IJ68" s="283"/>
      <c r="IK68" s="286"/>
      <c r="IL68" s="283"/>
      <c r="IM68" s="288"/>
    </row>
    <row r="69" spans="39:247" ht="14.4" customHeight="1" x14ac:dyDescent="0.3">
      <c r="AM69" s="368">
        <f t="shared" si="270"/>
        <v>0</v>
      </c>
      <c r="AN69" s="368">
        <f t="shared" si="271"/>
        <v>0</v>
      </c>
      <c r="AO69" s="368">
        <f t="shared" si="272"/>
        <v>0</v>
      </c>
      <c r="AP69" s="368">
        <f t="shared" si="273"/>
        <v>0</v>
      </c>
      <c r="AQ69" s="369" t="s">
        <v>786</v>
      </c>
      <c r="AR69" s="297">
        <f t="shared" si="274"/>
        <v>0</v>
      </c>
      <c r="AS69" s="370" t="e">
        <f t="shared" si="267"/>
        <v>#DIV/0!</v>
      </c>
      <c r="AT69" s="525"/>
      <c r="AU69" s="525"/>
      <c r="AV69" s="299">
        <v>0</v>
      </c>
      <c r="AW69" s="300">
        <v>0</v>
      </c>
      <c r="AX69" s="301"/>
      <c r="BH69" s="525"/>
      <c r="BI69" s="525"/>
      <c r="BJ69" s="370" t="e">
        <f>$AS$66</f>
        <v>#DIV/0!</v>
      </c>
      <c r="BK69" s="242" t="str">
        <f t="shared" si="277"/>
        <v>C11</v>
      </c>
      <c r="BL69" s="433">
        <f>Tabla24[[#This Row],[Columna3]]/7</f>
        <v>0</v>
      </c>
      <c r="BM69" s="433">
        <f>Tabla24[[#This Row],[Columna4]]/4.2</f>
        <v>0</v>
      </c>
      <c r="BN69" s="433">
        <f t="shared" si="278"/>
        <v>0</v>
      </c>
      <c r="BO69" s="433">
        <f t="shared" si="279"/>
        <v>0</v>
      </c>
      <c r="BP69" s="433">
        <f t="shared" si="280"/>
        <v>0</v>
      </c>
      <c r="BQ69" s="433">
        <f t="shared" si="281"/>
        <v>0</v>
      </c>
      <c r="BR69" s="433">
        <f t="shared" si="282"/>
        <v>0</v>
      </c>
      <c r="BS69" s="433">
        <f t="shared" si="283"/>
        <v>0</v>
      </c>
      <c r="BT69" s="433">
        <f t="shared" si="284"/>
        <v>0</v>
      </c>
      <c r="BU69" s="433">
        <f t="shared" si="285"/>
        <v>0</v>
      </c>
      <c r="BV69" s="433">
        <f t="shared" si="286"/>
        <v>0</v>
      </c>
      <c r="BW69" s="433">
        <f t="shared" si="287"/>
        <v>0</v>
      </c>
      <c r="BX69" s="433">
        <f t="shared" si="288"/>
        <v>0</v>
      </c>
      <c r="BY69" s="433">
        <f t="shared" si="289"/>
        <v>0</v>
      </c>
      <c r="BZ69" s="433">
        <f t="shared" si="290"/>
        <v>0</v>
      </c>
      <c r="CB69" s="525"/>
      <c r="CC69" s="525"/>
      <c r="CD69" s="370" t="e">
        <f>$AS$66</f>
        <v>#DIV/0!</v>
      </c>
      <c r="CE69" s="242" t="str">
        <f>Tabla24[[#This Row],[Columna1]]</f>
        <v>C11</v>
      </c>
      <c r="CF69" s="433">
        <f>Tabla2410[[#This Row],[Columna3]]/7</f>
        <v>0</v>
      </c>
      <c r="CG69" s="433">
        <f>Tabla2410[[#This Row],[Columna4]]/4.2</f>
        <v>0</v>
      </c>
      <c r="CH69" s="433">
        <f>Tabla24[[#This Row],[Columna16]]</f>
        <v>0</v>
      </c>
      <c r="CI69" s="433" t="e">
        <f>(Tabla2410[[#This Row],[Columna4]]*CI$56/$BZ$56)*$CH$55</f>
        <v>#DIV/0!</v>
      </c>
      <c r="CJ69" s="433" t="e">
        <f>(Tabla2410[[#This Row],[Columna4]]*CJ$56/$BZ$56)*$CH$55</f>
        <v>#DIV/0!</v>
      </c>
      <c r="CK69" s="433" t="e">
        <f>(Tabla2410[[#This Row],[Columna4]]*CK$56/$BZ$56)*$CH$55</f>
        <v>#DIV/0!</v>
      </c>
      <c r="CL69" s="433" t="e">
        <f>(Tabla2410[[#This Row],[Columna4]]*CL$56/$BZ$56)*$CH$55</f>
        <v>#DIV/0!</v>
      </c>
      <c r="CM69" s="433" t="e">
        <f>(Tabla2410[[#This Row],[Columna4]]*CM$56/$BZ$56)*$CH$55</f>
        <v>#DIV/0!</v>
      </c>
      <c r="CN69" s="433" t="e">
        <f>(Tabla2410[[#This Row],[Columna4]]*CN$56/$BZ$56)*$CH$55</f>
        <v>#DIV/0!</v>
      </c>
      <c r="CO69" s="433" t="e">
        <f>(Tabla2410[[#This Row],[Columna4]]*CO$56/$BZ$56)*$CH$55</f>
        <v>#DIV/0!</v>
      </c>
      <c r="CP69" s="433" t="e">
        <f>(Tabla2410[[#This Row],[Columna4]]*CP$56/$BZ$56)*$CH$55</f>
        <v>#DIV/0!</v>
      </c>
      <c r="CQ69" s="433" t="e">
        <f>(Tabla2410[[#This Row],[Columna4]]*CQ$56/$BZ$56)*$CH$55</f>
        <v>#DIV/0!</v>
      </c>
      <c r="CR69" s="433" t="e">
        <f>(Tabla2410[[#This Row],[Columna4]]*CR$56/$BZ$56)*$CH$55</f>
        <v>#DIV/0!</v>
      </c>
      <c r="CS69" s="433" t="e">
        <f>(Tabla2410[[#This Row],[Columna4]]*CS$56/$BZ$56)*$CH$55</f>
        <v>#DIV/0!</v>
      </c>
      <c r="CT69" s="433" t="e">
        <f>(Tabla2410[[#This Row],[Columna4]]*CT$56/$BZ$56)*$CH$55</f>
        <v>#DIV/0!</v>
      </c>
      <c r="CV69" s="525"/>
      <c r="CW69" s="525"/>
      <c r="CX69" s="370" t="e">
        <f>$AS$66</f>
        <v>#DIV/0!</v>
      </c>
      <c r="CY69" s="242" t="str">
        <f>Tabla24[[#This Row],[Columna1]]</f>
        <v>C11</v>
      </c>
      <c r="CZ69" s="433" t="e">
        <f>Tabla24105[[#This Row],[Columna3]]/7</f>
        <v>#DIV/0!</v>
      </c>
      <c r="DA69" s="433" t="e">
        <f>Tabla24105[[#This Row],[Columna4]]/4.2</f>
        <v>#DIV/0!</v>
      </c>
      <c r="DB69" s="433" t="e">
        <f>Tabla2410[[#This Row],[Columna16]]</f>
        <v>#DIV/0!</v>
      </c>
      <c r="DC69" s="433" t="e">
        <f>(Tabla24105[[#This Row],[Columna4]]*DC$56/$CT$56)*$DB$55</f>
        <v>#DIV/0!</v>
      </c>
      <c r="DD69" s="433" t="e">
        <f>(Tabla24105[[#This Row],[Columna4]]*DD$56/$CT$56)*$DB$55</f>
        <v>#DIV/0!</v>
      </c>
      <c r="DE69" s="433" t="e">
        <f>(Tabla24105[[#This Row],[Columna4]]*DE$56/$CT$56)*$DB$55</f>
        <v>#DIV/0!</v>
      </c>
      <c r="DF69" s="433" t="e">
        <f>(Tabla24105[[#This Row],[Columna4]]*DF$56/$CT$56)*$DB$55</f>
        <v>#DIV/0!</v>
      </c>
      <c r="DG69" s="433" t="e">
        <f>(Tabla24105[[#This Row],[Columna4]]*DG$56/$CT$56)*$DB$55</f>
        <v>#DIV/0!</v>
      </c>
      <c r="DH69" s="433" t="e">
        <f>(Tabla24105[[#This Row],[Columna4]]*DH$56/$CT$56)*$DB$55</f>
        <v>#DIV/0!</v>
      </c>
      <c r="DI69" s="433" t="e">
        <f>(Tabla24105[[#This Row],[Columna4]]*DI$56/$CT$56)*$DB$55</f>
        <v>#DIV/0!</v>
      </c>
      <c r="DJ69" s="433" t="e">
        <f>(Tabla24105[[#This Row],[Columna4]]*DJ$56/$CT$56)*$DB$55</f>
        <v>#DIV/0!</v>
      </c>
      <c r="DK69" s="433" t="e">
        <f>(Tabla24105[[#This Row],[Columna4]]*DK$56/$CT$56)*$DB$55</f>
        <v>#DIV/0!</v>
      </c>
      <c r="DL69" s="433" t="e">
        <f>(Tabla24105[[#This Row],[Columna4]]*DL$56/$CT$56)*$DB$55</f>
        <v>#DIV/0!</v>
      </c>
      <c r="DM69" s="433" t="e">
        <f>(Tabla24105[[#This Row],[Columna4]]*DM$56/$CT$56)*$DB$55</f>
        <v>#DIV/0!</v>
      </c>
      <c r="DN69" s="433" t="e">
        <f>(Tabla24105[[#This Row],[Columna4]]*DN$56/$CT$56)*$DB$55</f>
        <v>#DIV/0!</v>
      </c>
      <c r="DP69" s="525"/>
      <c r="DQ69" s="525"/>
      <c r="DR69" s="370" t="e">
        <f>$AS$66</f>
        <v>#DIV/0!</v>
      </c>
      <c r="DS69" s="242" t="str">
        <f>Tabla24[[#This Row],[Columna1]]</f>
        <v>C11</v>
      </c>
      <c r="DT69" s="433" t="e">
        <f>Tabla241057[[#This Row],[Columna3]]/7</f>
        <v>#DIV/0!</v>
      </c>
      <c r="DU69" s="433" t="e">
        <f>Tabla241057[[#This Row],[Columna4]]/4.2</f>
        <v>#DIV/0!</v>
      </c>
      <c r="DV69" s="433" t="e">
        <f>Tabla24105[[#This Row],[Columna16]]</f>
        <v>#DIV/0!</v>
      </c>
      <c r="DW69" s="433" t="e">
        <f>(Tabla241057[[#This Row],[Columna4]]*DW$56/$DN$56)*$DV$55</f>
        <v>#DIV/0!</v>
      </c>
      <c r="DX69" s="433" t="e">
        <f>(Tabla241057[[#This Row],[Columna4]]*DX$56/$DN$56)*$DV$55</f>
        <v>#DIV/0!</v>
      </c>
      <c r="DY69" s="433" t="e">
        <f>(Tabla241057[[#This Row],[Columna4]]*DY$56/$DN$56)*$DV$55</f>
        <v>#DIV/0!</v>
      </c>
      <c r="DZ69" s="433" t="e">
        <f>(Tabla241057[[#This Row],[Columna4]]*DZ$56/$DN$56)*$DV$55</f>
        <v>#DIV/0!</v>
      </c>
      <c r="EA69" s="433" t="e">
        <f>(Tabla241057[[#This Row],[Columna4]]*EA$56/$DN$56)*$DV$55</f>
        <v>#DIV/0!</v>
      </c>
      <c r="EB69" s="433" t="e">
        <f>(Tabla241057[[#This Row],[Columna4]]*EB$56/$DN$56)*$DV$55</f>
        <v>#DIV/0!</v>
      </c>
      <c r="EC69" s="433" t="e">
        <f>(Tabla241057[[#This Row],[Columna4]]*EC$56/$DN$56)*$DV$55</f>
        <v>#DIV/0!</v>
      </c>
      <c r="ED69" s="433" t="e">
        <f>(Tabla241057[[#This Row],[Columna4]]*ED$56/$DN$56)*$DV$55</f>
        <v>#DIV/0!</v>
      </c>
      <c r="EE69" s="433" t="e">
        <f>(Tabla241057[[#This Row],[Columna4]]*EE$56/$DN$56)*$DV$55</f>
        <v>#DIV/0!</v>
      </c>
      <c r="EF69" s="433" t="e">
        <f>(Tabla241057[[#This Row],[Columna4]]*EF$56/$DN$56)*$DV$55</f>
        <v>#DIV/0!</v>
      </c>
      <c r="EG69" s="433" t="e">
        <f>(Tabla241057[[#This Row],[Columna4]]*EG$56/$DN$56)*$DV$55</f>
        <v>#DIV/0!</v>
      </c>
      <c r="EH69" s="433" t="e">
        <f>(Tabla241057[[#This Row],[Columna4]]*EH$56/$DN$56)*$DV$55</f>
        <v>#DIV/0!</v>
      </c>
      <c r="EJ69" s="525"/>
      <c r="EK69" s="525"/>
      <c r="EL69" s="370" t="e">
        <f>$AS$66</f>
        <v>#DIV/0!</v>
      </c>
      <c r="EM69" s="242" t="str">
        <f>Tabla24[[#This Row],[Columna1]]</f>
        <v>C11</v>
      </c>
      <c r="EN69" s="433" t="e">
        <f>Tabla24105711[[#This Row],[Columna3]]/7</f>
        <v>#DIV/0!</v>
      </c>
      <c r="EO69" s="433" t="e">
        <f>Tabla24105711[[#This Row],[Columna4]]/4.2</f>
        <v>#DIV/0!</v>
      </c>
      <c r="EP69" s="433" t="e">
        <f>Tabla241057[[#This Row],[Columna16]]</f>
        <v>#DIV/0!</v>
      </c>
      <c r="EQ69" s="433" t="e">
        <f>(Tabla24105711[[#This Row],[Columna4]]*EQ$56/$EH$56)*$EP$55</f>
        <v>#DIV/0!</v>
      </c>
      <c r="ER69" s="433" t="e">
        <f>(Tabla24105711[[#This Row],[Columna4]]*ER$56/$EH$56)*$EP$55</f>
        <v>#DIV/0!</v>
      </c>
      <c r="ES69" s="433" t="e">
        <f>(Tabla24105711[[#This Row],[Columna4]]*ES$56/$EH$56)*$EP$55</f>
        <v>#DIV/0!</v>
      </c>
      <c r="ET69" s="433" t="e">
        <f>(Tabla24105711[[#This Row],[Columna4]]*ET$56/$EH$56)*$EP$55</f>
        <v>#DIV/0!</v>
      </c>
      <c r="EU69" s="433" t="e">
        <f>(Tabla24105711[[#This Row],[Columna4]]*EU$56/$EH$56)*$EP$55</f>
        <v>#DIV/0!</v>
      </c>
      <c r="EV69" s="433" t="e">
        <f>(Tabla24105711[[#This Row],[Columna4]]*EV$56/$EH$56)*$EP$55</f>
        <v>#DIV/0!</v>
      </c>
      <c r="EW69" s="433" t="e">
        <f>(Tabla24105711[[#This Row],[Columna4]]*EW$56/$EH$56)*$EP$55</f>
        <v>#DIV/0!</v>
      </c>
      <c r="EX69" s="433" t="e">
        <f>(Tabla24105711[[#This Row],[Columna4]]*EX$56/$EH$56)*$EP$55</f>
        <v>#DIV/0!</v>
      </c>
      <c r="EY69" s="433" t="e">
        <f>(Tabla24105711[[#This Row],[Columna4]]*EY$56/$EH$56)*$EP$55</f>
        <v>#DIV/0!</v>
      </c>
      <c r="EZ69" s="433" t="e">
        <f>(Tabla24105711[[#This Row],[Columna4]]*EZ$56/$EH$56)*$EP$55</f>
        <v>#DIV/0!</v>
      </c>
      <c r="FA69" s="433" t="e">
        <f>(Tabla24105711[[#This Row],[Columna4]]*FA$56/$EH$56)*$EP$55</f>
        <v>#DIV/0!</v>
      </c>
      <c r="FB69" s="433" t="e">
        <f>(Tabla24105711[[#This Row],[Columna4]]*FB$56/$EH$56)*$EP$55</f>
        <v>#DIV/0!</v>
      </c>
      <c r="FD69" s="397" t="s">
        <v>95</v>
      </c>
      <c r="FE69" s="399" t="s">
        <v>92</v>
      </c>
      <c r="FF69" s="400">
        <f t="shared" si="293"/>
        <v>0</v>
      </c>
      <c r="FG69" s="400">
        <f t="shared" si="293"/>
        <v>0</v>
      </c>
      <c r="FH69" s="400">
        <f t="shared" si="293"/>
        <v>0</v>
      </c>
      <c r="FI69" s="400">
        <f t="shared" si="293"/>
        <v>0</v>
      </c>
      <c r="FJ69" s="400">
        <f t="shared" si="293"/>
        <v>0</v>
      </c>
      <c r="FK69" s="400">
        <f t="shared" si="293"/>
        <v>0</v>
      </c>
      <c r="FL69" s="400">
        <f t="shared" si="293"/>
        <v>0</v>
      </c>
      <c r="FM69" s="400">
        <f t="shared" si="293"/>
        <v>0</v>
      </c>
      <c r="FN69" s="400">
        <f t="shared" si="293"/>
        <v>0</v>
      </c>
      <c r="FO69" s="400">
        <f t="shared" si="293"/>
        <v>0</v>
      </c>
      <c r="FP69" s="400">
        <f t="shared" si="293"/>
        <v>0</v>
      </c>
      <c r="FQ69" s="400">
        <f t="shared" si="293"/>
        <v>0</v>
      </c>
      <c r="FR69" s="363">
        <f t="shared" si="197"/>
        <v>0</v>
      </c>
      <c r="FS69" s="260" t="e">
        <f t="shared" si="198"/>
        <v>#DIV/0!</v>
      </c>
      <c r="FV69" s="324" t="s">
        <v>16</v>
      </c>
      <c r="FW69" s="325" t="e">
        <f>FW68*$FS$7</f>
        <v>#DIV/0!</v>
      </c>
      <c r="FX69" s="325" t="e">
        <f t="shared" ref="FX69:GH69" si="294">FX68*$FS$7</f>
        <v>#DIV/0!</v>
      </c>
      <c r="FY69" s="325" t="e">
        <f t="shared" si="294"/>
        <v>#DIV/0!</v>
      </c>
      <c r="FZ69" s="325" t="e">
        <f t="shared" si="294"/>
        <v>#DIV/0!</v>
      </c>
      <c r="GA69" s="325" t="e">
        <f t="shared" si="294"/>
        <v>#DIV/0!</v>
      </c>
      <c r="GB69" s="325" t="e">
        <f t="shared" si="294"/>
        <v>#DIV/0!</v>
      </c>
      <c r="GC69" s="325" t="e">
        <f t="shared" si="294"/>
        <v>#DIV/0!</v>
      </c>
      <c r="GD69" s="325" t="e">
        <f t="shared" si="294"/>
        <v>#DIV/0!</v>
      </c>
      <c r="GE69" s="325" t="e">
        <f t="shared" si="294"/>
        <v>#DIV/0!</v>
      </c>
      <c r="GF69" s="325" t="e">
        <f t="shared" si="294"/>
        <v>#DIV/0!</v>
      </c>
      <c r="GG69" s="325" t="e">
        <f t="shared" si="294"/>
        <v>#DIV/0!</v>
      </c>
      <c r="GH69" s="325" t="e">
        <f t="shared" si="294"/>
        <v>#DIV/0!</v>
      </c>
      <c r="GI69" s="309" t="e">
        <f t="shared" ref="GI69:GI72" si="295">SUM(FW69:GH69)</f>
        <v>#DIV/0!</v>
      </c>
      <c r="GJ69" s="246">
        <v>2.5000000000000001E-2</v>
      </c>
      <c r="HD69" s="65" t="s">
        <v>543</v>
      </c>
      <c r="HE69" s="66">
        <v>0</v>
      </c>
      <c r="HF69" s="67">
        <f t="shared" si="251"/>
        <v>0</v>
      </c>
      <c r="HG69" s="68">
        <f t="shared" si="252"/>
        <v>0</v>
      </c>
      <c r="HH69" s="69">
        <v>1</v>
      </c>
      <c r="HI69" s="367">
        <v>0</v>
      </c>
      <c r="HJ69" s="143"/>
      <c r="HM69" s="283"/>
      <c r="HN69" s="283"/>
      <c r="HO69" s="285"/>
      <c r="HP69" s="283"/>
      <c r="HQ69" s="286"/>
      <c r="HR69" s="283"/>
      <c r="HS69" s="286"/>
      <c r="HT69" s="283"/>
      <c r="HU69" s="286"/>
      <c r="HV69" s="283"/>
      <c r="HW69" s="286"/>
      <c r="HX69" s="283"/>
      <c r="HY69" s="286"/>
      <c r="HZ69" s="283"/>
      <c r="IA69" s="286"/>
      <c r="IB69" s="283"/>
      <c r="IC69" s="286"/>
      <c r="ID69" s="283"/>
      <c r="IE69" s="286"/>
      <c r="IF69" s="283"/>
      <c r="IG69" s="286"/>
      <c r="IH69" s="283"/>
      <c r="II69" s="286"/>
      <c r="IJ69" s="283"/>
      <c r="IK69" s="286"/>
      <c r="IL69" s="283"/>
      <c r="IM69" s="288"/>
    </row>
    <row r="70" spans="39:247" ht="14.4" customHeight="1" x14ac:dyDescent="0.3">
      <c r="AM70" s="368">
        <f t="shared" si="270"/>
        <v>0</v>
      </c>
      <c r="AN70" s="368">
        <f t="shared" si="271"/>
        <v>0</v>
      </c>
      <c r="AO70" s="368">
        <f t="shared" si="272"/>
        <v>0</v>
      </c>
      <c r="AP70" s="368">
        <f t="shared" si="273"/>
        <v>0</v>
      </c>
      <c r="AQ70" s="369" t="s">
        <v>788</v>
      </c>
      <c r="AR70" s="297">
        <f t="shared" si="274"/>
        <v>0</v>
      </c>
      <c r="AS70" s="370" t="e">
        <f t="shared" si="267"/>
        <v>#DIV/0!</v>
      </c>
      <c r="AT70" s="525"/>
      <c r="AU70" s="525"/>
      <c r="AV70" s="299">
        <v>0</v>
      </c>
      <c r="AW70" s="300">
        <v>0</v>
      </c>
      <c r="AX70" s="301"/>
      <c r="BH70" s="525"/>
      <c r="BI70" s="525"/>
      <c r="BJ70" s="370" t="e">
        <f>$AS$67</f>
        <v>#DIV/0!</v>
      </c>
      <c r="BK70" s="242" t="str">
        <f t="shared" si="277"/>
        <v>C12</v>
      </c>
      <c r="BL70" s="433">
        <f>Tabla24[[#This Row],[Columna3]]/7</f>
        <v>0</v>
      </c>
      <c r="BM70" s="433">
        <f>Tabla24[[#This Row],[Columna4]]/4.2</f>
        <v>0</v>
      </c>
      <c r="BN70" s="433">
        <f t="shared" si="278"/>
        <v>0</v>
      </c>
      <c r="BO70" s="433">
        <f t="shared" si="279"/>
        <v>0</v>
      </c>
      <c r="BP70" s="433">
        <f t="shared" si="280"/>
        <v>0</v>
      </c>
      <c r="BQ70" s="433">
        <f t="shared" si="281"/>
        <v>0</v>
      </c>
      <c r="BR70" s="433">
        <f t="shared" si="282"/>
        <v>0</v>
      </c>
      <c r="BS70" s="433">
        <f t="shared" si="283"/>
        <v>0</v>
      </c>
      <c r="BT70" s="433">
        <f t="shared" si="284"/>
        <v>0</v>
      </c>
      <c r="BU70" s="433">
        <f t="shared" si="285"/>
        <v>0</v>
      </c>
      <c r="BV70" s="433">
        <f t="shared" si="286"/>
        <v>0</v>
      </c>
      <c r="BW70" s="433">
        <f t="shared" si="287"/>
        <v>0</v>
      </c>
      <c r="BX70" s="433">
        <f t="shared" si="288"/>
        <v>0</v>
      </c>
      <c r="BY70" s="433">
        <f t="shared" si="289"/>
        <v>0</v>
      </c>
      <c r="BZ70" s="433">
        <f t="shared" si="290"/>
        <v>0</v>
      </c>
      <c r="CB70" s="525"/>
      <c r="CC70" s="525"/>
      <c r="CD70" s="370" t="e">
        <f>$AS$67</f>
        <v>#DIV/0!</v>
      </c>
      <c r="CE70" s="242" t="str">
        <f>Tabla24[[#This Row],[Columna1]]</f>
        <v>C12</v>
      </c>
      <c r="CF70" s="433">
        <f>Tabla2410[[#This Row],[Columna3]]/7</f>
        <v>0</v>
      </c>
      <c r="CG70" s="433">
        <f>Tabla2410[[#This Row],[Columna4]]/4.2</f>
        <v>0</v>
      </c>
      <c r="CH70" s="433">
        <f>Tabla24[[#This Row],[Columna16]]</f>
        <v>0</v>
      </c>
      <c r="CI70" s="433" t="e">
        <f>(Tabla2410[[#This Row],[Columna4]]*CI$56/$BZ$56)*$CH$55</f>
        <v>#DIV/0!</v>
      </c>
      <c r="CJ70" s="433" t="e">
        <f>(Tabla2410[[#This Row],[Columna4]]*CJ$56/$BZ$56)*$CH$55</f>
        <v>#DIV/0!</v>
      </c>
      <c r="CK70" s="433" t="e">
        <f>(Tabla2410[[#This Row],[Columna4]]*CK$56/$BZ$56)*$CH$55</f>
        <v>#DIV/0!</v>
      </c>
      <c r="CL70" s="433" t="e">
        <f>(Tabla2410[[#This Row],[Columna4]]*CL$56/$BZ$56)*$CH$55</f>
        <v>#DIV/0!</v>
      </c>
      <c r="CM70" s="433" t="e">
        <f>(Tabla2410[[#This Row],[Columna4]]*CM$56/$BZ$56)*$CH$55</f>
        <v>#DIV/0!</v>
      </c>
      <c r="CN70" s="433" t="e">
        <f>(Tabla2410[[#This Row],[Columna4]]*CN$56/$BZ$56)*$CH$55</f>
        <v>#DIV/0!</v>
      </c>
      <c r="CO70" s="433" t="e">
        <f>(Tabla2410[[#This Row],[Columna4]]*CO$56/$BZ$56)*$CH$55</f>
        <v>#DIV/0!</v>
      </c>
      <c r="CP70" s="433" t="e">
        <f>(Tabla2410[[#This Row],[Columna4]]*CP$56/$BZ$56)*$CH$55</f>
        <v>#DIV/0!</v>
      </c>
      <c r="CQ70" s="433" t="e">
        <f>(Tabla2410[[#This Row],[Columna4]]*CQ$56/$BZ$56)*$CH$55</f>
        <v>#DIV/0!</v>
      </c>
      <c r="CR70" s="433" t="e">
        <f>(Tabla2410[[#This Row],[Columna4]]*CR$56/$BZ$56)*$CH$55</f>
        <v>#DIV/0!</v>
      </c>
      <c r="CS70" s="433" t="e">
        <f>(Tabla2410[[#This Row],[Columna4]]*CS$56/$BZ$56)*$CH$55</f>
        <v>#DIV/0!</v>
      </c>
      <c r="CT70" s="433" t="e">
        <f>(Tabla2410[[#This Row],[Columna4]]*CT$56/$BZ$56)*$CH$55</f>
        <v>#DIV/0!</v>
      </c>
      <c r="CV70" s="525"/>
      <c r="CW70" s="525"/>
      <c r="CX70" s="370" t="e">
        <f>$AS$67</f>
        <v>#DIV/0!</v>
      </c>
      <c r="CY70" s="242" t="str">
        <f>Tabla24[[#This Row],[Columna1]]</f>
        <v>C12</v>
      </c>
      <c r="CZ70" s="433" t="e">
        <f>Tabla24105[[#This Row],[Columna3]]/7</f>
        <v>#DIV/0!</v>
      </c>
      <c r="DA70" s="433" t="e">
        <f>Tabla24105[[#This Row],[Columna4]]/4.2</f>
        <v>#DIV/0!</v>
      </c>
      <c r="DB70" s="433" t="e">
        <f>Tabla2410[[#This Row],[Columna16]]</f>
        <v>#DIV/0!</v>
      </c>
      <c r="DC70" s="433" t="e">
        <f>(Tabla24105[[#This Row],[Columna4]]*DC$56/$CT$56)*$DB$55</f>
        <v>#DIV/0!</v>
      </c>
      <c r="DD70" s="433" t="e">
        <f>(Tabla24105[[#This Row],[Columna4]]*DD$56/$CT$56)*$DB$55</f>
        <v>#DIV/0!</v>
      </c>
      <c r="DE70" s="433" t="e">
        <f>(Tabla24105[[#This Row],[Columna4]]*DE$56/$CT$56)*$DB$55</f>
        <v>#DIV/0!</v>
      </c>
      <c r="DF70" s="433" t="e">
        <f>(Tabla24105[[#This Row],[Columna4]]*DF$56/$CT$56)*$DB$55</f>
        <v>#DIV/0!</v>
      </c>
      <c r="DG70" s="433" t="e">
        <f>(Tabla24105[[#This Row],[Columna4]]*DG$56/$CT$56)*$DB$55</f>
        <v>#DIV/0!</v>
      </c>
      <c r="DH70" s="433" t="e">
        <f>(Tabla24105[[#This Row],[Columna4]]*DH$56/$CT$56)*$DB$55</f>
        <v>#DIV/0!</v>
      </c>
      <c r="DI70" s="433" t="e">
        <f>(Tabla24105[[#This Row],[Columna4]]*DI$56/$CT$56)*$DB$55</f>
        <v>#DIV/0!</v>
      </c>
      <c r="DJ70" s="433" t="e">
        <f>(Tabla24105[[#This Row],[Columna4]]*DJ$56/$CT$56)*$DB$55</f>
        <v>#DIV/0!</v>
      </c>
      <c r="DK70" s="433" t="e">
        <f>(Tabla24105[[#This Row],[Columna4]]*DK$56/$CT$56)*$DB$55</f>
        <v>#DIV/0!</v>
      </c>
      <c r="DL70" s="433" t="e">
        <f>(Tabla24105[[#This Row],[Columna4]]*DL$56/$CT$56)*$DB$55</f>
        <v>#DIV/0!</v>
      </c>
      <c r="DM70" s="433" t="e">
        <f>(Tabla24105[[#This Row],[Columna4]]*DM$56/$CT$56)*$DB$55</f>
        <v>#DIV/0!</v>
      </c>
      <c r="DN70" s="433" t="e">
        <f>(Tabla24105[[#This Row],[Columna4]]*DN$56/$CT$56)*$DB$55</f>
        <v>#DIV/0!</v>
      </c>
      <c r="DP70" s="525"/>
      <c r="DQ70" s="525"/>
      <c r="DR70" s="370" t="e">
        <f>$AS$67</f>
        <v>#DIV/0!</v>
      </c>
      <c r="DS70" s="242" t="str">
        <f>Tabla24[[#This Row],[Columna1]]</f>
        <v>C12</v>
      </c>
      <c r="DT70" s="433" t="e">
        <f>Tabla241057[[#This Row],[Columna3]]/7</f>
        <v>#DIV/0!</v>
      </c>
      <c r="DU70" s="433" t="e">
        <f>Tabla241057[[#This Row],[Columna4]]/4.2</f>
        <v>#DIV/0!</v>
      </c>
      <c r="DV70" s="433" t="e">
        <f>Tabla24105[[#This Row],[Columna16]]</f>
        <v>#DIV/0!</v>
      </c>
      <c r="DW70" s="433" t="e">
        <f>(Tabla241057[[#This Row],[Columna4]]*DW$56/$DN$56)*$DV$55</f>
        <v>#DIV/0!</v>
      </c>
      <c r="DX70" s="433" t="e">
        <f>(Tabla241057[[#This Row],[Columna4]]*DX$56/$DN$56)*$DV$55</f>
        <v>#DIV/0!</v>
      </c>
      <c r="DY70" s="433" t="e">
        <f>(Tabla241057[[#This Row],[Columna4]]*DY$56/$DN$56)*$DV$55</f>
        <v>#DIV/0!</v>
      </c>
      <c r="DZ70" s="433" t="e">
        <f>(Tabla241057[[#This Row],[Columna4]]*DZ$56/$DN$56)*$DV$55</f>
        <v>#DIV/0!</v>
      </c>
      <c r="EA70" s="433" t="e">
        <f>(Tabla241057[[#This Row],[Columna4]]*EA$56/$DN$56)*$DV$55</f>
        <v>#DIV/0!</v>
      </c>
      <c r="EB70" s="433" t="e">
        <f>(Tabla241057[[#This Row],[Columna4]]*EB$56/$DN$56)*$DV$55</f>
        <v>#DIV/0!</v>
      </c>
      <c r="EC70" s="433" t="e">
        <f>(Tabla241057[[#This Row],[Columna4]]*EC$56/$DN$56)*$DV$55</f>
        <v>#DIV/0!</v>
      </c>
      <c r="ED70" s="433" t="e">
        <f>(Tabla241057[[#This Row],[Columna4]]*ED$56/$DN$56)*$DV$55</f>
        <v>#DIV/0!</v>
      </c>
      <c r="EE70" s="433" t="e">
        <f>(Tabla241057[[#This Row],[Columna4]]*EE$56/$DN$56)*$DV$55</f>
        <v>#DIV/0!</v>
      </c>
      <c r="EF70" s="433" t="e">
        <f>(Tabla241057[[#This Row],[Columna4]]*EF$56/$DN$56)*$DV$55</f>
        <v>#DIV/0!</v>
      </c>
      <c r="EG70" s="433" t="e">
        <f>(Tabla241057[[#This Row],[Columna4]]*EG$56/$DN$56)*$DV$55</f>
        <v>#DIV/0!</v>
      </c>
      <c r="EH70" s="433" t="e">
        <f>(Tabla241057[[#This Row],[Columna4]]*EH$56/$DN$56)*$DV$55</f>
        <v>#DIV/0!</v>
      </c>
      <c r="EJ70" s="525"/>
      <c r="EK70" s="525"/>
      <c r="EL70" s="370" t="e">
        <f>$AS$67</f>
        <v>#DIV/0!</v>
      </c>
      <c r="EM70" s="242" t="str">
        <f>Tabla24[[#This Row],[Columna1]]</f>
        <v>C12</v>
      </c>
      <c r="EN70" s="433" t="e">
        <f>Tabla24105711[[#This Row],[Columna3]]/7</f>
        <v>#DIV/0!</v>
      </c>
      <c r="EO70" s="433" t="e">
        <f>Tabla24105711[[#This Row],[Columna4]]/4.2</f>
        <v>#DIV/0!</v>
      </c>
      <c r="EP70" s="433" t="e">
        <f>Tabla241057[[#This Row],[Columna16]]</f>
        <v>#DIV/0!</v>
      </c>
      <c r="EQ70" s="433" t="e">
        <f>(Tabla24105711[[#This Row],[Columna4]]*EQ$56/$EH$56)*$EP$55</f>
        <v>#DIV/0!</v>
      </c>
      <c r="ER70" s="433" t="e">
        <f>(Tabla24105711[[#This Row],[Columna4]]*ER$56/$EH$56)*$EP$55</f>
        <v>#DIV/0!</v>
      </c>
      <c r="ES70" s="433" t="e">
        <f>(Tabla24105711[[#This Row],[Columna4]]*ES$56/$EH$56)*$EP$55</f>
        <v>#DIV/0!</v>
      </c>
      <c r="ET70" s="433" t="e">
        <f>(Tabla24105711[[#This Row],[Columna4]]*ET$56/$EH$56)*$EP$55</f>
        <v>#DIV/0!</v>
      </c>
      <c r="EU70" s="433" t="e">
        <f>(Tabla24105711[[#This Row],[Columna4]]*EU$56/$EH$56)*$EP$55</f>
        <v>#DIV/0!</v>
      </c>
      <c r="EV70" s="433" t="e">
        <f>(Tabla24105711[[#This Row],[Columna4]]*EV$56/$EH$56)*$EP$55</f>
        <v>#DIV/0!</v>
      </c>
      <c r="EW70" s="433" t="e">
        <f>(Tabla24105711[[#This Row],[Columna4]]*EW$56/$EH$56)*$EP$55</f>
        <v>#DIV/0!</v>
      </c>
      <c r="EX70" s="433" t="e">
        <f>(Tabla24105711[[#This Row],[Columna4]]*EX$56/$EH$56)*$EP$55</f>
        <v>#DIV/0!</v>
      </c>
      <c r="EY70" s="433" t="e">
        <f>(Tabla24105711[[#This Row],[Columna4]]*EY$56/$EH$56)*$EP$55</f>
        <v>#DIV/0!</v>
      </c>
      <c r="EZ70" s="433" t="e">
        <f>(Tabla24105711[[#This Row],[Columna4]]*EZ$56/$EH$56)*$EP$55</f>
        <v>#DIV/0!</v>
      </c>
      <c r="FA70" s="433" t="e">
        <f>(Tabla24105711[[#This Row],[Columna4]]*FA$56/$EH$56)*$EP$55</f>
        <v>#DIV/0!</v>
      </c>
      <c r="FB70" s="433" t="e">
        <f>(Tabla24105711[[#This Row],[Columna4]]*FB$56/$EH$56)*$EP$55</f>
        <v>#DIV/0!</v>
      </c>
      <c r="FD70" s="397" t="s">
        <v>96</v>
      </c>
      <c r="FE70" s="399" t="s">
        <v>94</v>
      </c>
      <c r="FF70" s="400">
        <f t="shared" si="293"/>
        <v>0</v>
      </c>
      <c r="FG70" s="400">
        <f t="shared" si="293"/>
        <v>0</v>
      </c>
      <c r="FH70" s="400">
        <f t="shared" si="293"/>
        <v>0</v>
      </c>
      <c r="FI70" s="400">
        <f t="shared" si="293"/>
        <v>0</v>
      </c>
      <c r="FJ70" s="400">
        <f t="shared" si="293"/>
        <v>0</v>
      </c>
      <c r="FK70" s="400">
        <f t="shared" si="293"/>
        <v>0</v>
      </c>
      <c r="FL70" s="400">
        <f t="shared" si="293"/>
        <v>0</v>
      </c>
      <c r="FM70" s="400">
        <f t="shared" si="293"/>
        <v>0</v>
      </c>
      <c r="FN70" s="400">
        <f t="shared" si="293"/>
        <v>0</v>
      </c>
      <c r="FO70" s="400">
        <f t="shared" si="293"/>
        <v>0</v>
      </c>
      <c r="FP70" s="400">
        <f t="shared" si="293"/>
        <v>0</v>
      </c>
      <c r="FQ70" s="400">
        <f t="shared" si="293"/>
        <v>0</v>
      </c>
      <c r="FR70" s="363">
        <f t="shared" si="197"/>
        <v>0</v>
      </c>
      <c r="FS70" s="260" t="e">
        <f t="shared" si="198"/>
        <v>#DIV/0!</v>
      </c>
      <c r="FV70" s="307" t="s">
        <v>17</v>
      </c>
      <c r="FW70" s="308" t="e">
        <f>FW68-FW69</f>
        <v>#DIV/0!</v>
      </c>
      <c r="FX70" s="308" t="e">
        <f t="shared" ref="FX70:GH70" si="296">FX68-FX69</f>
        <v>#DIV/0!</v>
      </c>
      <c r="FY70" s="308" t="e">
        <f t="shared" si="296"/>
        <v>#DIV/0!</v>
      </c>
      <c r="FZ70" s="308" t="e">
        <f t="shared" si="296"/>
        <v>#DIV/0!</v>
      </c>
      <c r="GA70" s="308" t="e">
        <f t="shared" si="296"/>
        <v>#DIV/0!</v>
      </c>
      <c r="GB70" s="308" t="e">
        <f t="shared" si="296"/>
        <v>#DIV/0!</v>
      </c>
      <c r="GC70" s="308" t="e">
        <f t="shared" si="296"/>
        <v>#DIV/0!</v>
      </c>
      <c r="GD70" s="308" t="e">
        <f t="shared" si="296"/>
        <v>#DIV/0!</v>
      </c>
      <c r="GE70" s="308" t="e">
        <f t="shared" si="296"/>
        <v>#DIV/0!</v>
      </c>
      <c r="GF70" s="308" t="e">
        <f t="shared" si="296"/>
        <v>#DIV/0!</v>
      </c>
      <c r="GG70" s="308" t="e">
        <f t="shared" si="296"/>
        <v>#DIV/0!</v>
      </c>
      <c r="GH70" s="308" t="e">
        <f t="shared" si="296"/>
        <v>#DIV/0!</v>
      </c>
      <c r="GI70" s="309" t="e">
        <f t="shared" si="295"/>
        <v>#DIV/0!</v>
      </c>
      <c r="GJ70" s="262" t="e">
        <f t="shared" ref="GJ70:GJ72" si="297">GI70/$GI$6</f>
        <v>#DIV/0!</v>
      </c>
      <c r="GK70" s="262" t="e">
        <f>GI70/GI39-1</f>
        <v>#DIV/0!</v>
      </c>
      <c r="HD70" s="65" t="s">
        <v>544</v>
      </c>
      <c r="HE70" s="66">
        <v>0</v>
      </c>
      <c r="HF70" s="67">
        <f t="shared" si="251"/>
        <v>0</v>
      </c>
      <c r="HG70" s="68">
        <f t="shared" si="252"/>
        <v>0</v>
      </c>
      <c r="HH70" s="69">
        <v>1</v>
      </c>
      <c r="HI70" s="367">
        <v>0</v>
      </c>
      <c r="HJ70" s="143"/>
      <c r="HM70" s="283"/>
      <c r="HN70" s="283" t="s">
        <v>605</v>
      </c>
      <c r="HO70" s="285"/>
      <c r="HP70" s="283" t="s">
        <v>606</v>
      </c>
      <c r="HQ70" s="286"/>
      <c r="HR70" s="283" t="s">
        <v>607</v>
      </c>
      <c r="HS70" s="286"/>
      <c r="HT70" s="283" t="s">
        <v>608</v>
      </c>
      <c r="HU70" s="286"/>
      <c r="HV70" s="283"/>
      <c r="HW70" s="286"/>
      <c r="HX70" s="283"/>
      <c r="HY70" s="286"/>
      <c r="HZ70" s="283"/>
      <c r="IA70" s="286"/>
      <c r="IB70" s="283"/>
      <c r="IC70" s="286"/>
      <c r="ID70" s="283"/>
      <c r="IE70" s="286"/>
      <c r="IF70" s="283"/>
      <c r="IG70" s="286"/>
      <c r="IH70" s="283"/>
      <c r="II70" s="286"/>
      <c r="IJ70" s="283"/>
      <c r="IK70" s="286"/>
      <c r="IL70" s="283"/>
      <c r="IM70" s="288"/>
    </row>
    <row r="71" spans="39:247" ht="14.4" customHeight="1" x14ac:dyDescent="0.3">
      <c r="AM71" s="368">
        <f t="shared" si="270"/>
        <v>0</v>
      </c>
      <c r="AN71" s="368">
        <f t="shared" si="271"/>
        <v>0</v>
      </c>
      <c r="AO71" s="368">
        <f t="shared" si="272"/>
        <v>0</v>
      </c>
      <c r="AP71" s="368">
        <f t="shared" si="273"/>
        <v>0</v>
      </c>
      <c r="AQ71" s="369" t="s">
        <v>790</v>
      </c>
      <c r="AR71" s="297">
        <f t="shared" si="274"/>
        <v>0</v>
      </c>
      <c r="AS71" s="370" t="e">
        <f t="shared" si="267"/>
        <v>#DIV/0!</v>
      </c>
      <c r="AT71" s="525"/>
      <c r="AU71" s="525"/>
      <c r="AV71" s="299">
        <v>0</v>
      </c>
      <c r="AW71" s="300">
        <v>0</v>
      </c>
      <c r="AX71" s="301"/>
      <c r="BH71" s="525"/>
      <c r="BI71" s="525"/>
      <c r="BJ71" s="370" t="e">
        <f>$AS$68</f>
        <v>#DIV/0!</v>
      </c>
      <c r="BK71" s="242" t="str">
        <f t="shared" si="277"/>
        <v>C13</v>
      </c>
      <c r="BL71" s="433">
        <f>Tabla24[[#This Row],[Columna3]]/7</f>
        <v>0</v>
      </c>
      <c r="BM71" s="433">
        <f>Tabla24[[#This Row],[Columna4]]/4.2</f>
        <v>0</v>
      </c>
      <c r="BN71" s="433">
        <f t="shared" si="278"/>
        <v>0</v>
      </c>
      <c r="BO71" s="433">
        <f t="shared" si="279"/>
        <v>0</v>
      </c>
      <c r="BP71" s="433">
        <f t="shared" si="280"/>
        <v>0</v>
      </c>
      <c r="BQ71" s="433">
        <f t="shared" si="281"/>
        <v>0</v>
      </c>
      <c r="BR71" s="433">
        <f t="shared" si="282"/>
        <v>0</v>
      </c>
      <c r="BS71" s="433">
        <f t="shared" si="283"/>
        <v>0</v>
      </c>
      <c r="BT71" s="433">
        <f t="shared" si="284"/>
        <v>0</v>
      </c>
      <c r="BU71" s="433">
        <f t="shared" si="285"/>
        <v>0</v>
      </c>
      <c r="BV71" s="433">
        <f t="shared" si="286"/>
        <v>0</v>
      </c>
      <c r="BW71" s="433">
        <f t="shared" si="287"/>
        <v>0</v>
      </c>
      <c r="BX71" s="433">
        <f t="shared" si="288"/>
        <v>0</v>
      </c>
      <c r="BY71" s="433">
        <f t="shared" si="289"/>
        <v>0</v>
      </c>
      <c r="BZ71" s="433">
        <f t="shared" si="290"/>
        <v>0</v>
      </c>
      <c r="CB71" s="525"/>
      <c r="CC71" s="525"/>
      <c r="CD71" s="370" t="e">
        <f>$AS$68</f>
        <v>#DIV/0!</v>
      </c>
      <c r="CE71" s="242" t="str">
        <f>Tabla24[[#This Row],[Columna1]]</f>
        <v>C13</v>
      </c>
      <c r="CF71" s="433">
        <f>Tabla2410[[#This Row],[Columna3]]/7</f>
        <v>0</v>
      </c>
      <c r="CG71" s="433">
        <f>Tabla2410[[#This Row],[Columna4]]/4.2</f>
        <v>0</v>
      </c>
      <c r="CH71" s="433">
        <f>Tabla24[[#This Row],[Columna16]]</f>
        <v>0</v>
      </c>
      <c r="CI71" s="433" t="e">
        <f>(Tabla2410[[#This Row],[Columna4]]*CI$56/$BZ$56)*$CH$55</f>
        <v>#DIV/0!</v>
      </c>
      <c r="CJ71" s="433" t="e">
        <f>(Tabla2410[[#This Row],[Columna4]]*CJ$56/$BZ$56)*$CH$55</f>
        <v>#DIV/0!</v>
      </c>
      <c r="CK71" s="433" t="e">
        <f>(Tabla2410[[#This Row],[Columna4]]*CK$56/$BZ$56)*$CH$55</f>
        <v>#DIV/0!</v>
      </c>
      <c r="CL71" s="433" t="e">
        <f>(Tabla2410[[#This Row],[Columna4]]*CL$56/$BZ$56)*$CH$55</f>
        <v>#DIV/0!</v>
      </c>
      <c r="CM71" s="433" t="e">
        <f>(Tabla2410[[#This Row],[Columna4]]*CM$56/$BZ$56)*$CH$55</f>
        <v>#DIV/0!</v>
      </c>
      <c r="CN71" s="433" t="e">
        <f>(Tabla2410[[#This Row],[Columna4]]*CN$56/$BZ$56)*$CH$55</f>
        <v>#DIV/0!</v>
      </c>
      <c r="CO71" s="433" t="e">
        <f>(Tabla2410[[#This Row],[Columna4]]*CO$56/$BZ$56)*$CH$55</f>
        <v>#DIV/0!</v>
      </c>
      <c r="CP71" s="433" t="e">
        <f>(Tabla2410[[#This Row],[Columna4]]*CP$56/$BZ$56)*$CH$55</f>
        <v>#DIV/0!</v>
      </c>
      <c r="CQ71" s="433" t="e">
        <f>(Tabla2410[[#This Row],[Columna4]]*CQ$56/$BZ$56)*$CH$55</f>
        <v>#DIV/0!</v>
      </c>
      <c r="CR71" s="433" t="e">
        <f>(Tabla2410[[#This Row],[Columna4]]*CR$56/$BZ$56)*$CH$55</f>
        <v>#DIV/0!</v>
      </c>
      <c r="CS71" s="433" t="e">
        <f>(Tabla2410[[#This Row],[Columna4]]*CS$56/$BZ$56)*$CH$55</f>
        <v>#DIV/0!</v>
      </c>
      <c r="CT71" s="433" t="e">
        <f>(Tabla2410[[#This Row],[Columna4]]*CT$56/$BZ$56)*$CH$55</f>
        <v>#DIV/0!</v>
      </c>
      <c r="CV71" s="525"/>
      <c r="CW71" s="525"/>
      <c r="CX71" s="370" t="e">
        <f>$AS$68</f>
        <v>#DIV/0!</v>
      </c>
      <c r="CY71" s="242" t="str">
        <f>Tabla24[[#This Row],[Columna1]]</f>
        <v>C13</v>
      </c>
      <c r="CZ71" s="433" t="e">
        <f>Tabla24105[[#This Row],[Columna3]]/7</f>
        <v>#DIV/0!</v>
      </c>
      <c r="DA71" s="433" t="e">
        <f>Tabla24105[[#This Row],[Columna4]]/4.2</f>
        <v>#DIV/0!</v>
      </c>
      <c r="DB71" s="433" t="e">
        <f>Tabla2410[[#This Row],[Columna16]]</f>
        <v>#DIV/0!</v>
      </c>
      <c r="DC71" s="433" t="e">
        <f>(Tabla24105[[#This Row],[Columna4]]*DC$56/$CT$56)*$DB$55</f>
        <v>#DIV/0!</v>
      </c>
      <c r="DD71" s="433" t="e">
        <f>(Tabla24105[[#This Row],[Columna4]]*DD$56/$CT$56)*$DB$55</f>
        <v>#DIV/0!</v>
      </c>
      <c r="DE71" s="433" t="e">
        <f>(Tabla24105[[#This Row],[Columna4]]*DE$56/$CT$56)*$DB$55</f>
        <v>#DIV/0!</v>
      </c>
      <c r="DF71" s="433" t="e">
        <f>(Tabla24105[[#This Row],[Columna4]]*DF$56/$CT$56)*$DB$55</f>
        <v>#DIV/0!</v>
      </c>
      <c r="DG71" s="433" t="e">
        <f>(Tabla24105[[#This Row],[Columna4]]*DG$56/$CT$56)*$DB$55</f>
        <v>#DIV/0!</v>
      </c>
      <c r="DH71" s="433" t="e">
        <f>(Tabla24105[[#This Row],[Columna4]]*DH$56/$CT$56)*$DB$55</f>
        <v>#DIV/0!</v>
      </c>
      <c r="DI71" s="433" t="e">
        <f>(Tabla24105[[#This Row],[Columna4]]*DI$56/$CT$56)*$DB$55</f>
        <v>#DIV/0!</v>
      </c>
      <c r="DJ71" s="433" t="e">
        <f>(Tabla24105[[#This Row],[Columna4]]*DJ$56/$CT$56)*$DB$55</f>
        <v>#DIV/0!</v>
      </c>
      <c r="DK71" s="433" t="e">
        <f>(Tabla24105[[#This Row],[Columna4]]*DK$56/$CT$56)*$DB$55</f>
        <v>#DIV/0!</v>
      </c>
      <c r="DL71" s="433" t="e">
        <f>(Tabla24105[[#This Row],[Columna4]]*DL$56/$CT$56)*$DB$55</f>
        <v>#DIV/0!</v>
      </c>
      <c r="DM71" s="433" t="e">
        <f>(Tabla24105[[#This Row],[Columna4]]*DM$56/$CT$56)*$DB$55</f>
        <v>#DIV/0!</v>
      </c>
      <c r="DN71" s="433" t="e">
        <f>(Tabla24105[[#This Row],[Columna4]]*DN$56/$CT$56)*$DB$55</f>
        <v>#DIV/0!</v>
      </c>
      <c r="DP71" s="525"/>
      <c r="DQ71" s="525"/>
      <c r="DR71" s="370" t="e">
        <f>$AS$68</f>
        <v>#DIV/0!</v>
      </c>
      <c r="DS71" s="242" t="str">
        <f>Tabla24[[#This Row],[Columna1]]</f>
        <v>C13</v>
      </c>
      <c r="DT71" s="433" t="e">
        <f>Tabla241057[[#This Row],[Columna3]]/7</f>
        <v>#DIV/0!</v>
      </c>
      <c r="DU71" s="433" t="e">
        <f>Tabla241057[[#This Row],[Columna4]]/4.2</f>
        <v>#DIV/0!</v>
      </c>
      <c r="DV71" s="433" t="e">
        <f>Tabla24105[[#This Row],[Columna16]]</f>
        <v>#DIV/0!</v>
      </c>
      <c r="DW71" s="433" t="e">
        <f>(Tabla241057[[#This Row],[Columna4]]*DW$56/$DN$56)*$DV$55</f>
        <v>#DIV/0!</v>
      </c>
      <c r="DX71" s="433" t="e">
        <f>(Tabla241057[[#This Row],[Columna4]]*DX$56/$DN$56)*$DV$55</f>
        <v>#DIV/0!</v>
      </c>
      <c r="DY71" s="433" t="e">
        <f>(Tabla241057[[#This Row],[Columna4]]*DY$56/$DN$56)*$DV$55</f>
        <v>#DIV/0!</v>
      </c>
      <c r="DZ71" s="433" t="e">
        <f>(Tabla241057[[#This Row],[Columna4]]*DZ$56/$DN$56)*$DV$55</f>
        <v>#DIV/0!</v>
      </c>
      <c r="EA71" s="433" t="e">
        <f>(Tabla241057[[#This Row],[Columna4]]*EA$56/$DN$56)*$DV$55</f>
        <v>#DIV/0!</v>
      </c>
      <c r="EB71" s="433" t="e">
        <f>(Tabla241057[[#This Row],[Columna4]]*EB$56/$DN$56)*$DV$55</f>
        <v>#DIV/0!</v>
      </c>
      <c r="EC71" s="433" t="e">
        <f>(Tabla241057[[#This Row],[Columna4]]*EC$56/$DN$56)*$DV$55</f>
        <v>#DIV/0!</v>
      </c>
      <c r="ED71" s="433" t="e">
        <f>(Tabla241057[[#This Row],[Columna4]]*ED$56/$DN$56)*$DV$55</f>
        <v>#DIV/0!</v>
      </c>
      <c r="EE71" s="433" t="e">
        <f>(Tabla241057[[#This Row],[Columna4]]*EE$56/$DN$56)*$DV$55</f>
        <v>#DIV/0!</v>
      </c>
      <c r="EF71" s="433" t="e">
        <f>(Tabla241057[[#This Row],[Columna4]]*EF$56/$DN$56)*$DV$55</f>
        <v>#DIV/0!</v>
      </c>
      <c r="EG71" s="433" t="e">
        <f>(Tabla241057[[#This Row],[Columna4]]*EG$56/$DN$56)*$DV$55</f>
        <v>#DIV/0!</v>
      </c>
      <c r="EH71" s="433" t="e">
        <f>(Tabla241057[[#This Row],[Columna4]]*EH$56/$DN$56)*$DV$55</f>
        <v>#DIV/0!</v>
      </c>
      <c r="EJ71" s="525"/>
      <c r="EK71" s="525"/>
      <c r="EL71" s="370" t="e">
        <f>$AS$68</f>
        <v>#DIV/0!</v>
      </c>
      <c r="EM71" s="242" t="str">
        <f>Tabla24[[#This Row],[Columna1]]</f>
        <v>C13</v>
      </c>
      <c r="EN71" s="433" t="e">
        <f>Tabla24105711[[#This Row],[Columna3]]/7</f>
        <v>#DIV/0!</v>
      </c>
      <c r="EO71" s="433" t="e">
        <f>Tabla24105711[[#This Row],[Columna4]]/4.2</f>
        <v>#DIV/0!</v>
      </c>
      <c r="EP71" s="433" t="e">
        <f>Tabla241057[[#This Row],[Columna16]]</f>
        <v>#DIV/0!</v>
      </c>
      <c r="EQ71" s="433" t="e">
        <f>(Tabla24105711[[#This Row],[Columna4]]*EQ$56/$EH$56)*$EP$55</f>
        <v>#DIV/0!</v>
      </c>
      <c r="ER71" s="433" t="e">
        <f>(Tabla24105711[[#This Row],[Columna4]]*ER$56/$EH$56)*$EP$55</f>
        <v>#DIV/0!</v>
      </c>
      <c r="ES71" s="433" t="e">
        <f>(Tabla24105711[[#This Row],[Columna4]]*ES$56/$EH$56)*$EP$55</f>
        <v>#DIV/0!</v>
      </c>
      <c r="ET71" s="433" t="e">
        <f>(Tabla24105711[[#This Row],[Columna4]]*ET$56/$EH$56)*$EP$55</f>
        <v>#DIV/0!</v>
      </c>
      <c r="EU71" s="433" t="e">
        <f>(Tabla24105711[[#This Row],[Columna4]]*EU$56/$EH$56)*$EP$55</f>
        <v>#DIV/0!</v>
      </c>
      <c r="EV71" s="433" t="e">
        <f>(Tabla24105711[[#This Row],[Columna4]]*EV$56/$EH$56)*$EP$55</f>
        <v>#DIV/0!</v>
      </c>
      <c r="EW71" s="433" t="e">
        <f>(Tabla24105711[[#This Row],[Columna4]]*EW$56/$EH$56)*$EP$55</f>
        <v>#DIV/0!</v>
      </c>
      <c r="EX71" s="433" t="e">
        <f>(Tabla24105711[[#This Row],[Columna4]]*EX$56/$EH$56)*$EP$55</f>
        <v>#DIV/0!</v>
      </c>
      <c r="EY71" s="433" t="e">
        <f>(Tabla24105711[[#This Row],[Columna4]]*EY$56/$EH$56)*$EP$55</f>
        <v>#DIV/0!</v>
      </c>
      <c r="EZ71" s="433" t="e">
        <f>(Tabla24105711[[#This Row],[Columna4]]*EZ$56/$EH$56)*$EP$55</f>
        <v>#DIV/0!</v>
      </c>
      <c r="FA71" s="433" t="e">
        <f>(Tabla24105711[[#This Row],[Columna4]]*FA$56/$EH$56)*$EP$55</f>
        <v>#DIV/0!</v>
      </c>
      <c r="FB71" s="433" t="e">
        <f>(Tabla24105711[[#This Row],[Columna4]]*FB$56/$EH$56)*$EP$55</f>
        <v>#DIV/0!</v>
      </c>
      <c r="FD71" s="397" t="s">
        <v>98</v>
      </c>
      <c r="FE71" s="399" t="s">
        <v>847</v>
      </c>
      <c r="FF71" s="400">
        <f t="shared" si="293"/>
        <v>0</v>
      </c>
      <c r="FG71" s="400">
        <f t="shared" si="293"/>
        <v>0</v>
      </c>
      <c r="FH71" s="400">
        <f t="shared" si="293"/>
        <v>0</v>
      </c>
      <c r="FI71" s="400">
        <f t="shared" si="293"/>
        <v>0</v>
      </c>
      <c r="FJ71" s="400">
        <f t="shared" si="293"/>
        <v>0</v>
      </c>
      <c r="FK71" s="400">
        <f t="shared" si="293"/>
        <v>0</v>
      </c>
      <c r="FL71" s="400">
        <f t="shared" si="293"/>
        <v>0</v>
      </c>
      <c r="FM71" s="400">
        <f t="shared" si="293"/>
        <v>0</v>
      </c>
      <c r="FN71" s="400">
        <f t="shared" si="293"/>
        <v>0</v>
      </c>
      <c r="FO71" s="400">
        <f t="shared" si="293"/>
        <v>0</v>
      </c>
      <c r="FP71" s="400">
        <f t="shared" si="293"/>
        <v>0</v>
      </c>
      <c r="FQ71" s="400">
        <f t="shared" si="293"/>
        <v>0</v>
      </c>
      <c r="FR71" s="363">
        <f t="shared" si="197"/>
        <v>0</v>
      </c>
      <c r="FS71" s="260" t="e">
        <f t="shared" si="198"/>
        <v>#DIV/0!</v>
      </c>
      <c r="FV71" s="324" t="s">
        <v>18</v>
      </c>
      <c r="FW71" s="325" t="e">
        <f>$FF$380*FW68</f>
        <v>#DIV/0!</v>
      </c>
      <c r="FX71" s="325" t="e">
        <f>$FG$380*FX68</f>
        <v>#DIV/0!</v>
      </c>
      <c r="FY71" s="325" t="e">
        <f>$FH$380*FY68</f>
        <v>#DIV/0!</v>
      </c>
      <c r="FZ71" s="325" t="e">
        <f>$FI$380*FZ68</f>
        <v>#DIV/0!</v>
      </c>
      <c r="GA71" s="325" t="e">
        <f>$FJ$380*GA68</f>
        <v>#DIV/0!</v>
      </c>
      <c r="GB71" s="325" t="e">
        <f>$FK$380*GB68</f>
        <v>#DIV/0!</v>
      </c>
      <c r="GC71" s="325" t="e">
        <f>$FL$380*GC68</f>
        <v>#DIV/0!</v>
      </c>
      <c r="GD71" s="325" t="e">
        <f>$FM$380*GD68</f>
        <v>#DIV/0!</v>
      </c>
      <c r="GE71" s="325" t="e">
        <f>$FN$380*GE68</f>
        <v>#DIV/0!</v>
      </c>
      <c r="GF71" s="325" t="e">
        <f>$FO$380*GF68</f>
        <v>#DIV/0!</v>
      </c>
      <c r="GG71" s="325" t="e">
        <f>$FP$380*GG68</f>
        <v>#DIV/0!</v>
      </c>
      <c r="GH71" s="325" t="e">
        <f>$FQ$380*GH68</f>
        <v>#DIV/0!</v>
      </c>
      <c r="GI71" s="309" t="e">
        <f t="shared" si="295"/>
        <v>#DIV/0!</v>
      </c>
      <c r="GJ71" s="262" t="e">
        <f t="shared" si="297"/>
        <v>#DIV/0!</v>
      </c>
      <c r="HD71" s="60" t="s">
        <v>545</v>
      </c>
      <c r="HE71" s="61"/>
      <c r="HF71" s="62">
        <f>SUM(HF72:HF79)</f>
        <v>0</v>
      </c>
      <c r="HG71" s="63"/>
      <c r="HH71" s="64"/>
      <c r="HI71" s="150"/>
      <c r="HJ71" s="143"/>
      <c r="HM71" s="283" t="str">
        <f>HM13</f>
        <v>VENTAS NETAS</v>
      </c>
      <c r="HN71" s="316">
        <f>HN13+HP13+HR13</f>
        <v>0</v>
      </c>
      <c r="HO71" s="316"/>
      <c r="HP71" s="316">
        <f>HT13+HV13+HX13</f>
        <v>0</v>
      </c>
      <c r="HQ71" s="316"/>
      <c r="HR71" s="316">
        <f>HZ13+IB13+ID13</f>
        <v>0</v>
      </c>
      <c r="HS71" s="316"/>
      <c r="HT71" s="316">
        <f>IF13+IH13+IJ13</f>
        <v>0</v>
      </c>
      <c r="HU71" s="286"/>
      <c r="HV71" s="283"/>
      <c r="HW71" s="286"/>
      <c r="HX71" s="283"/>
      <c r="HY71" s="286"/>
      <c r="HZ71" s="283"/>
      <c r="IA71" s="286"/>
      <c r="IB71" s="283"/>
      <c r="IC71" s="286"/>
      <c r="ID71" s="283"/>
      <c r="IE71" s="286"/>
      <c r="IF71" s="283"/>
      <c r="IG71" s="286"/>
      <c r="IH71" s="283"/>
      <c r="II71" s="286"/>
      <c r="IJ71" s="283"/>
      <c r="IK71" s="286"/>
      <c r="IL71" s="283"/>
      <c r="IM71" s="288"/>
    </row>
    <row r="72" spans="39:247" ht="14.4" customHeight="1" x14ac:dyDescent="0.3">
      <c r="AM72" s="368">
        <f t="shared" si="270"/>
        <v>0</v>
      </c>
      <c r="AN72" s="368">
        <f t="shared" si="271"/>
        <v>0</v>
      </c>
      <c r="AO72" s="368">
        <f t="shared" si="272"/>
        <v>0</v>
      </c>
      <c r="AP72" s="368">
        <f t="shared" si="273"/>
        <v>0</v>
      </c>
      <c r="AQ72" s="369" t="s">
        <v>792</v>
      </c>
      <c r="AR72" s="297">
        <f t="shared" si="274"/>
        <v>0</v>
      </c>
      <c r="AS72" s="370" t="e">
        <f t="shared" si="267"/>
        <v>#DIV/0!</v>
      </c>
      <c r="AT72" s="525"/>
      <c r="AU72" s="525"/>
      <c r="AV72" s="299">
        <v>0</v>
      </c>
      <c r="AW72" s="300">
        <v>0</v>
      </c>
      <c r="AX72" s="301"/>
      <c r="BH72" s="525"/>
      <c r="BI72" s="525"/>
      <c r="BJ72" s="370" t="e">
        <f>$AS$69</f>
        <v>#DIV/0!</v>
      </c>
      <c r="BK72" s="242" t="str">
        <f t="shared" si="277"/>
        <v>C14</v>
      </c>
      <c r="BL72" s="433">
        <f>Tabla24[[#This Row],[Columna3]]/7</f>
        <v>0</v>
      </c>
      <c r="BM72" s="433">
        <f>Tabla24[[#This Row],[Columna4]]/4.2</f>
        <v>0</v>
      </c>
      <c r="BN72" s="433">
        <f t="shared" si="278"/>
        <v>0</v>
      </c>
      <c r="BO72" s="433">
        <f t="shared" si="279"/>
        <v>0</v>
      </c>
      <c r="BP72" s="433">
        <f t="shared" si="280"/>
        <v>0</v>
      </c>
      <c r="BQ72" s="433">
        <f t="shared" si="281"/>
        <v>0</v>
      </c>
      <c r="BR72" s="433">
        <f t="shared" si="282"/>
        <v>0</v>
      </c>
      <c r="BS72" s="433">
        <f t="shared" si="283"/>
        <v>0</v>
      </c>
      <c r="BT72" s="433">
        <f t="shared" si="284"/>
        <v>0</v>
      </c>
      <c r="BU72" s="433">
        <f t="shared" si="285"/>
        <v>0</v>
      </c>
      <c r="BV72" s="433">
        <f t="shared" si="286"/>
        <v>0</v>
      </c>
      <c r="BW72" s="433">
        <f t="shared" si="287"/>
        <v>0</v>
      </c>
      <c r="BX72" s="433">
        <f t="shared" si="288"/>
        <v>0</v>
      </c>
      <c r="BY72" s="433">
        <f t="shared" si="289"/>
        <v>0</v>
      </c>
      <c r="BZ72" s="433">
        <f t="shared" si="290"/>
        <v>0</v>
      </c>
      <c r="CB72" s="525"/>
      <c r="CC72" s="525"/>
      <c r="CD72" s="370" t="e">
        <f>$AS$69</f>
        <v>#DIV/0!</v>
      </c>
      <c r="CE72" s="242" t="str">
        <f>Tabla24[[#This Row],[Columna1]]</f>
        <v>C14</v>
      </c>
      <c r="CF72" s="433">
        <f>Tabla2410[[#This Row],[Columna3]]/7</f>
        <v>0</v>
      </c>
      <c r="CG72" s="433">
        <f>Tabla2410[[#This Row],[Columna4]]/4.2</f>
        <v>0</v>
      </c>
      <c r="CH72" s="433">
        <f>Tabla24[[#This Row],[Columna16]]</f>
        <v>0</v>
      </c>
      <c r="CI72" s="433" t="e">
        <f>(Tabla2410[[#This Row],[Columna4]]*CI$56/$BZ$56)*$CH$55</f>
        <v>#DIV/0!</v>
      </c>
      <c r="CJ72" s="433" t="e">
        <f>(Tabla2410[[#This Row],[Columna4]]*CJ$56/$BZ$56)*$CH$55</f>
        <v>#DIV/0!</v>
      </c>
      <c r="CK72" s="433" t="e">
        <f>(Tabla2410[[#This Row],[Columna4]]*CK$56/$BZ$56)*$CH$55</f>
        <v>#DIV/0!</v>
      </c>
      <c r="CL72" s="433" t="e">
        <f>(Tabla2410[[#This Row],[Columna4]]*CL$56/$BZ$56)*$CH$55</f>
        <v>#DIV/0!</v>
      </c>
      <c r="CM72" s="433" t="e">
        <f>(Tabla2410[[#This Row],[Columna4]]*CM$56/$BZ$56)*$CH$55</f>
        <v>#DIV/0!</v>
      </c>
      <c r="CN72" s="433" t="e">
        <f>(Tabla2410[[#This Row],[Columna4]]*CN$56/$BZ$56)*$CH$55</f>
        <v>#DIV/0!</v>
      </c>
      <c r="CO72" s="433" t="e">
        <f>(Tabla2410[[#This Row],[Columna4]]*CO$56/$BZ$56)*$CH$55</f>
        <v>#DIV/0!</v>
      </c>
      <c r="CP72" s="433" t="e">
        <f>(Tabla2410[[#This Row],[Columna4]]*CP$56/$BZ$56)*$CH$55</f>
        <v>#DIV/0!</v>
      </c>
      <c r="CQ72" s="433" t="e">
        <f>(Tabla2410[[#This Row],[Columna4]]*CQ$56/$BZ$56)*$CH$55</f>
        <v>#DIV/0!</v>
      </c>
      <c r="CR72" s="433" t="e">
        <f>(Tabla2410[[#This Row],[Columna4]]*CR$56/$BZ$56)*$CH$55</f>
        <v>#DIV/0!</v>
      </c>
      <c r="CS72" s="433" t="e">
        <f>(Tabla2410[[#This Row],[Columna4]]*CS$56/$BZ$56)*$CH$55</f>
        <v>#DIV/0!</v>
      </c>
      <c r="CT72" s="433" t="e">
        <f>(Tabla2410[[#This Row],[Columna4]]*CT$56/$BZ$56)*$CH$55</f>
        <v>#DIV/0!</v>
      </c>
      <c r="CV72" s="525"/>
      <c r="CW72" s="525"/>
      <c r="CX72" s="370" t="e">
        <f>$AS$69</f>
        <v>#DIV/0!</v>
      </c>
      <c r="CY72" s="242" t="str">
        <f>Tabla24[[#This Row],[Columna1]]</f>
        <v>C14</v>
      </c>
      <c r="CZ72" s="433" t="e">
        <f>Tabla24105[[#This Row],[Columna3]]/7</f>
        <v>#DIV/0!</v>
      </c>
      <c r="DA72" s="433" t="e">
        <f>Tabla24105[[#This Row],[Columna4]]/4.2</f>
        <v>#DIV/0!</v>
      </c>
      <c r="DB72" s="433" t="e">
        <f>Tabla2410[[#This Row],[Columna16]]</f>
        <v>#DIV/0!</v>
      </c>
      <c r="DC72" s="433" t="e">
        <f>(Tabla24105[[#This Row],[Columna4]]*DC$56/$CT$56)*$DB$55</f>
        <v>#DIV/0!</v>
      </c>
      <c r="DD72" s="433" t="e">
        <f>(Tabla24105[[#This Row],[Columna4]]*DD$56/$CT$56)*$DB$55</f>
        <v>#DIV/0!</v>
      </c>
      <c r="DE72" s="433" t="e">
        <f>(Tabla24105[[#This Row],[Columna4]]*DE$56/$CT$56)*$DB$55</f>
        <v>#DIV/0!</v>
      </c>
      <c r="DF72" s="433" t="e">
        <f>(Tabla24105[[#This Row],[Columna4]]*DF$56/$CT$56)*$DB$55</f>
        <v>#DIV/0!</v>
      </c>
      <c r="DG72" s="433" t="e">
        <f>(Tabla24105[[#This Row],[Columna4]]*DG$56/$CT$56)*$DB$55</f>
        <v>#DIV/0!</v>
      </c>
      <c r="DH72" s="433" t="e">
        <f>(Tabla24105[[#This Row],[Columna4]]*DH$56/$CT$56)*$DB$55</f>
        <v>#DIV/0!</v>
      </c>
      <c r="DI72" s="433" t="e">
        <f>(Tabla24105[[#This Row],[Columna4]]*DI$56/$CT$56)*$DB$55</f>
        <v>#DIV/0!</v>
      </c>
      <c r="DJ72" s="433" t="e">
        <f>(Tabla24105[[#This Row],[Columna4]]*DJ$56/$CT$56)*$DB$55</f>
        <v>#DIV/0!</v>
      </c>
      <c r="DK72" s="433" t="e">
        <f>(Tabla24105[[#This Row],[Columna4]]*DK$56/$CT$56)*$DB$55</f>
        <v>#DIV/0!</v>
      </c>
      <c r="DL72" s="433" t="e">
        <f>(Tabla24105[[#This Row],[Columna4]]*DL$56/$CT$56)*$DB$55</f>
        <v>#DIV/0!</v>
      </c>
      <c r="DM72" s="433" t="e">
        <f>(Tabla24105[[#This Row],[Columna4]]*DM$56/$CT$56)*$DB$55</f>
        <v>#DIV/0!</v>
      </c>
      <c r="DN72" s="433" t="e">
        <f>(Tabla24105[[#This Row],[Columna4]]*DN$56/$CT$56)*$DB$55</f>
        <v>#DIV/0!</v>
      </c>
      <c r="DP72" s="525"/>
      <c r="DQ72" s="525"/>
      <c r="DR72" s="370" t="e">
        <f>$AS$69</f>
        <v>#DIV/0!</v>
      </c>
      <c r="DS72" s="242" t="str">
        <f>Tabla24[[#This Row],[Columna1]]</f>
        <v>C14</v>
      </c>
      <c r="DT72" s="433" t="e">
        <f>Tabla241057[[#This Row],[Columna3]]/7</f>
        <v>#DIV/0!</v>
      </c>
      <c r="DU72" s="433" t="e">
        <f>Tabla241057[[#This Row],[Columna4]]/4.2</f>
        <v>#DIV/0!</v>
      </c>
      <c r="DV72" s="433" t="e">
        <f>Tabla24105[[#This Row],[Columna16]]</f>
        <v>#DIV/0!</v>
      </c>
      <c r="DW72" s="433" t="e">
        <f>(Tabla241057[[#This Row],[Columna4]]*DW$56/$DN$56)*$DV$55</f>
        <v>#DIV/0!</v>
      </c>
      <c r="DX72" s="433" t="e">
        <f>(Tabla241057[[#This Row],[Columna4]]*DX$56/$DN$56)*$DV$55</f>
        <v>#DIV/0!</v>
      </c>
      <c r="DY72" s="433" t="e">
        <f>(Tabla241057[[#This Row],[Columna4]]*DY$56/$DN$56)*$DV$55</f>
        <v>#DIV/0!</v>
      </c>
      <c r="DZ72" s="433" t="e">
        <f>(Tabla241057[[#This Row],[Columna4]]*DZ$56/$DN$56)*$DV$55</f>
        <v>#DIV/0!</v>
      </c>
      <c r="EA72" s="433" t="e">
        <f>(Tabla241057[[#This Row],[Columna4]]*EA$56/$DN$56)*$DV$55</f>
        <v>#DIV/0!</v>
      </c>
      <c r="EB72" s="433" t="e">
        <f>(Tabla241057[[#This Row],[Columna4]]*EB$56/$DN$56)*$DV$55</f>
        <v>#DIV/0!</v>
      </c>
      <c r="EC72" s="433" t="e">
        <f>(Tabla241057[[#This Row],[Columna4]]*EC$56/$DN$56)*$DV$55</f>
        <v>#DIV/0!</v>
      </c>
      <c r="ED72" s="433" t="e">
        <f>(Tabla241057[[#This Row],[Columna4]]*ED$56/$DN$56)*$DV$55</f>
        <v>#DIV/0!</v>
      </c>
      <c r="EE72" s="433" t="e">
        <f>(Tabla241057[[#This Row],[Columna4]]*EE$56/$DN$56)*$DV$55</f>
        <v>#DIV/0!</v>
      </c>
      <c r="EF72" s="433" t="e">
        <f>(Tabla241057[[#This Row],[Columna4]]*EF$56/$DN$56)*$DV$55</f>
        <v>#DIV/0!</v>
      </c>
      <c r="EG72" s="433" t="e">
        <f>(Tabla241057[[#This Row],[Columna4]]*EG$56/$DN$56)*$DV$55</f>
        <v>#DIV/0!</v>
      </c>
      <c r="EH72" s="433" t="e">
        <f>(Tabla241057[[#This Row],[Columna4]]*EH$56/$DN$56)*$DV$55</f>
        <v>#DIV/0!</v>
      </c>
      <c r="EJ72" s="525"/>
      <c r="EK72" s="525"/>
      <c r="EL72" s="370" t="e">
        <f>$AS$69</f>
        <v>#DIV/0!</v>
      </c>
      <c r="EM72" s="242" t="str">
        <f>Tabla24[[#This Row],[Columna1]]</f>
        <v>C14</v>
      </c>
      <c r="EN72" s="433" t="e">
        <f>Tabla24105711[[#This Row],[Columna3]]/7</f>
        <v>#DIV/0!</v>
      </c>
      <c r="EO72" s="433" t="e">
        <f>Tabla24105711[[#This Row],[Columna4]]/4.2</f>
        <v>#DIV/0!</v>
      </c>
      <c r="EP72" s="433" t="e">
        <f>Tabla241057[[#This Row],[Columna16]]</f>
        <v>#DIV/0!</v>
      </c>
      <c r="EQ72" s="433" t="e">
        <f>(Tabla24105711[[#This Row],[Columna4]]*EQ$56/$EH$56)*$EP$55</f>
        <v>#DIV/0!</v>
      </c>
      <c r="ER72" s="433" t="e">
        <f>(Tabla24105711[[#This Row],[Columna4]]*ER$56/$EH$56)*$EP$55</f>
        <v>#DIV/0!</v>
      </c>
      <c r="ES72" s="433" t="e">
        <f>(Tabla24105711[[#This Row],[Columna4]]*ES$56/$EH$56)*$EP$55</f>
        <v>#DIV/0!</v>
      </c>
      <c r="ET72" s="433" t="e">
        <f>(Tabla24105711[[#This Row],[Columna4]]*ET$56/$EH$56)*$EP$55</f>
        <v>#DIV/0!</v>
      </c>
      <c r="EU72" s="433" t="e">
        <f>(Tabla24105711[[#This Row],[Columna4]]*EU$56/$EH$56)*$EP$55</f>
        <v>#DIV/0!</v>
      </c>
      <c r="EV72" s="433" t="e">
        <f>(Tabla24105711[[#This Row],[Columna4]]*EV$56/$EH$56)*$EP$55</f>
        <v>#DIV/0!</v>
      </c>
      <c r="EW72" s="433" t="e">
        <f>(Tabla24105711[[#This Row],[Columna4]]*EW$56/$EH$56)*$EP$55</f>
        <v>#DIV/0!</v>
      </c>
      <c r="EX72" s="433" t="e">
        <f>(Tabla24105711[[#This Row],[Columna4]]*EX$56/$EH$56)*$EP$55</f>
        <v>#DIV/0!</v>
      </c>
      <c r="EY72" s="433" t="e">
        <f>(Tabla24105711[[#This Row],[Columna4]]*EY$56/$EH$56)*$EP$55</f>
        <v>#DIV/0!</v>
      </c>
      <c r="EZ72" s="433" t="e">
        <f>(Tabla24105711[[#This Row],[Columna4]]*EZ$56/$EH$56)*$EP$55</f>
        <v>#DIV/0!</v>
      </c>
      <c r="FA72" s="433" t="e">
        <f>(Tabla24105711[[#This Row],[Columna4]]*FA$56/$EH$56)*$EP$55</f>
        <v>#DIV/0!</v>
      </c>
      <c r="FB72" s="433" t="e">
        <f>(Tabla24105711[[#This Row],[Columna4]]*FB$56/$EH$56)*$EP$55</f>
        <v>#DIV/0!</v>
      </c>
      <c r="FD72" s="397" t="s">
        <v>100</v>
      </c>
      <c r="FE72" s="399" t="s">
        <v>97</v>
      </c>
      <c r="FF72" s="400">
        <f t="shared" si="293"/>
        <v>0</v>
      </c>
      <c r="FG72" s="400">
        <f t="shared" si="293"/>
        <v>0</v>
      </c>
      <c r="FH72" s="400">
        <f t="shared" si="293"/>
        <v>0</v>
      </c>
      <c r="FI72" s="400">
        <f t="shared" si="293"/>
        <v>0</v>
      </c>
      <c r="FJ72" s="400">
        <f t="shared" si="293"/>
        <v>0</v>
      </c>
      <c r="FK72" s="400">
        <f t="shared" si="293"/>
        <v>0</v>
      </c>
      <c r="FL72" s="400">
        <f t="shared" si="293"/>
        <v>0</v>
      </c>
      <c r="FM72" s="400">
        <f t="shared" si="293"/>
        <v>0</v>
      </c>
      <c r="FN72" s="400">
        <f t="shared" si="293"/>
        <v>0</v>
      </c>
      <c r="FO72" s="400">
        <f t="shared" si="293"/>
        <v>0</v>
      </c>
      <c r="FP72" s="400">
        <f t="shared" si="293"/>
        <v>0</v>
      </c>
      <c r="FQ72" s="400">
        <f t="shared" si="293"/>
        <v>0</v>
      </c>
      <c r="FR72" s="363">
        <f t="shared" si="197"/>
        <v>0</v>
      </c>
      <c r="FS72" s="260" t="e">
        <f t="shared" si="198"/>
        <v>#DIV/0!</v>
      </c>
      <c r="FV72" s="307" t="s">
        <v>19</v>
      </c>
      <c r="FW72" s="308" t="e">
        <f>FW70-FW71</f>
        <v>#DIV/0!</v>
      </c>
      <c r="FX72" s="308" t="e">
        <f t="shared" ref="FX72:GH72" si="298">FX70-FX71</f>
        <v>#DIV/0!</v>
      </c>
      <c r="FY72" s="308" t="e">
        <f t="shared" si="298"/>
        <v>#DIV/0!</v>
      </c>
      <c r="FZ72" s="308" t="e">
        <f t="shared" si="298"/>
        <v>#DIV/0!</v>
      </c>
      <c r="GA72" s="308" t="e">
        <f t="shared" si="298"/>
        <v>#DIV/0!</v>
      </c>
      <c r="GB72" s="308" t="e">
        <f t="shared" si="298"/>
        <v>#DIV/0!</v>
      </c>
      <c r="GC72" s="308" t="e">
        <f t="shared" si="298"/>
        <v>#DIV/0!</v>
      </c>
      <c r="GD72" s="308" t="e">
        <f t="shared" si="298"/>
        <v>#DIV/0!</v>
      </c>
      <c r="GE72" s="308" t="e">
        <f t="shared" si="298"/>
        <v>#DIV/0!</v>
      </c>
      <c r="GF72" s="308" t="e">
        <f t="shared" si="298"/>
        <v>#DIV/0!</v>
      </c>
      <c r="GG72" s="308" t="e">
        <f t="shared" si="298"/>
        <v>#DIV/0!</v>
      </c>
      <c r="GH72" s="308" t="e">
        <f t="shared" si="298"/>
        <v>#DIV/0!</v>
      </c>
      <c r="GI72" s="309" t="e">
        <f t="shared" si="295"/>
        <v>#DIV/0!</v>
      </c>
      <c r="GJ72" s="262" t="e">
        <f t="shared" si="297"/>
        <v>#DIV/0!</v>
      </c>
      <c r="HD72" s="65" t="s">
        <v>546</v>
      </c>
      <c r="HE72" s="66">
        <v>0</v>
      </c>
      <c r="HF72" s="67">
        <f t="shared" ref="HF72:HF79" si="299">HE72*HG72</f>
        <v>0</v>
      </c>
      <c r="HG72" s="68">
        <f t="shared" ref="HG72:HG79" si="300">HI72*HH72</f>
        <v>0</v>
      </c>
      <c r="HH72" s="69">
        <v>1</v>
      </c>
      <c r="HI72" s="367">
        <v>0</v>
      </c>
      <c r="HJ72" s="143"/>
      <c r="HM72" s="283" t="str">
        <f>HM17</f>
        <v>UTILIDAD BRUTA</v>
      </c>
      <c r="HN72" s="316" t="e">
        <f>HN17+HP17+HR17</f>
        <v>#DIV/0!</v>
      </c>
      <c r="HO72" s="316"/>
      <c r="HP72" s="316" t="e">
        <f>HT17+HV17+HX17</f>
        <v>#DIV/0!</v>
      </c>
      <c r="HQ72" s="316"/>
      <c r="HR72" s="316" t="e">
        <f>HZ17+IB17+ID17</f>
        <v>#DIV/0!</v>
      </c>
      <c r="HS72" s="316"/>
      <c r="HT72" s="316" t="e">
        <f>IF17+IH17+IJ17</f>
        <v>#DIV/0!</v>
      </c>
      <c r="HU72" s="286"/>
      <c r="HV72" s="283"/>
      <c r="HW72" s="286"/>
      <c r="HX72" s="283"/>
      <c r="HY72" s="286"/>
      <c r="HZ72" s="283"/>
      <c r="IA72" s="286"/>
      <c r="IB72" s="283"/>
      <c r="IC72" s="286"/>
      <c r="ID72" s="283"/>
      <c r="IE72" s="286"/>
      <c r="IF72" s="283"/>
      <c r="IG72" s="286"/>
      <c r="IH72" s="283"/>
      <c r="II72" s="286"/>
      <c r="IJ72" s="283"/>
      <c r="IK72" s="286"/>
      <c r="IL72" s="283"/>
      <c r="IM72" s="288"/>
    </row>
    <row r="73" spans="39:247" ht="14.4" customHeight="1" x14ac:dyDescent="0.3">
      <c r="AM73" s="394">
        <f t="shared" si="270"/>
        <v>0</v>
      </c>
      <c r="AN73" s="394">
        <f t="shared" si="271"/>
        <v>0</v>
      </c>
      <c r="AO73" s="394">
        <f t="shared" si="272"/>
        <v>0</v>
      </c>
      <c r="AP73" s="394">
        <f t="shared" si="273"/>
        <v>0</v>
      </c>
      <c r="AQ73" s="395" t="s">
        <v>795</v>
      </c>
      <c r="AR73" s="297">
        <f t="shared" si="274"/>
        <v>0</v>
      </c>
      <c r="AS73" s="396" t="e">
        <f t="shared" si="267"/>
        <v>#DIV/0!</v>
      </c>
      <c r="AT73" s="531" t="e">
        <f>SUM(AS73:AS81)</f>
        <v>#DIV/0!</v>
      </c>
      <c r="AU73" s="531" t="s">
        <v>321</v>
      </c>
      <c r="AV73" s="299">
        <v>0</v>
      </c>
      <c r="AW73" s="300">
        <v>0</v>
      </c>
      <c r="AX73" s="301"/>
      <c r="BH73" s="525"/>
      <c r="BI73" s="525"/>
      <c r="BJ73" s="370" t="e">
        <f>$AS$70</f>
        <v>#DIV/0!</v>
      </c>
      <c r="BK73" s="242" t="str">
        <f t="shared" si="277"/>
        <v>C15</v>
      </c>
      <c r="BL73" s="433">
        <f>Tabla24[[#This Row],[Columna3]]/7</f>
        <v>0</v>
      </c>
      <c r="BM73" s="433">
        <f>Tabla24[[#This Row],[Columna4]]/4.2</f>
        <v>0</v>
      </c>
      <c r="BN73" s="433">
        <f t="shared" si="278"/>
        <v>0</v>
      </c>
      <c r="BO73" s="433">
        <f t="shared" si="279"/>
        <v>0</v>
      </c>
      <c r="BP73" s="433">
        <f t="shared" si="280"/>
        <v>0</v>
      </c>
      <c r="BQ73" s="433">
        <f t="shared" si="281"/>
        <v>0</v>
      </c>
      <c r="BR73" s="433">
        <f t="shared" si="282"/>
        <v>0</v>
      </c>
      <c r="BS73" s="433">
        <f t="shared" si="283"/>
        <v>0</v>
      </c>
      <c r="BT73" s="433">
        <f t="shared" si="284"/>
        <v>0</v>
      </c>
      <c r="BU73" s="433">
        <f t="shared" si="285"/>
        <v>0</v>
      </c>
      <c r="BV73" s="433">
        <f t="shared" si="286"/>
        <v>0</v>
      </c>
      <c r="BW73" s="433">
        <f t="shared" si="287"/>
        <v>0</v>
      </c>
      <c r="BX73" s="433">
        <f t="shared" si="288"/>
        <v>0</v>
      </c>
      <c r="BY73" s="433">
        <f t="shared" si="289"/>
        <v>0</v>
      </c>
      <c r="BZ73" s="433">
        <f t="shared" si="290"/>
        <v>0</v>
      </c>
      <c r="CB73" s="525"/>
      <c r="CC73" s="525"/>
      <c r="CD73" s="370" t="e">
        <f>$AS$70</f>
        <v>#DIV/0!</v>
      </c>
      <c r="CE73" s="242" t="str">
        <f>Tabla24[[#This Row],[Columna1]]</f>
        <v>C15</v>
      </c>
      <c r="CF73" s="433">
        <f>Tabla2410[[#This Row],[Columna3]]/7</f>
        <v>0</v>
      </c>
      <c r="CG73" s="433">
        <f>Tabla2410[[#This Row],[Columna4]]/4.2</f>
        <v>0</v>
      </c>
      <c r="CH73" s="433">
        <f>Tabla24[[#This Row],[Columna16]]</f>
        <v>0</v>
      </c>
      <c r="CI73" s="433" t="e">
        <f>(Tabla2410[[#This Row],[Columna4]]*CI$56/$BZ$56)*$CH$55</f>
        <v>#DIV/0!</v>
      </c>
      <c r="CJ73" s="433" t="e">
        <f>(Tabla2410[[#This Row],[Columna4]]*CJ$56/$BZ$56)*$CH$55</f>
        <v>#DIV/0!</v>
      </c>
      <c r="CK73" s="433" t="e">
        <f>(Tabla2410[[#This Row],[Columna4]]*CK$56/$BZ$56)*$CH$55</f>
        <v>#DIV/0!</v>
      </c>
      <c r="CL73" s="433" t="e">
        <f>(Tabla2410[[#This Row],[Columna4]]*CL$56/$BZ$56)*$CH$55</f>
        <v>#DIV/0!</v>
      </c>
      <c r="CM73" s="433" t="e">
        <f>(Tabla2410[[#This Row],[Columna4]]*CM$56/$BZ$56)*$CH$55</f>
        <v>#DIV/0!</v>
      </c>
      <c r="CN73" s="433" t="e">
        <f>(Tabla2410[[#This Row],[Columna4]]*CN$56/$BZ$56)*$CH$55</f>
        <v>#DIV/0!</v>
      </c>
      <c r="CO73" s="433" t="e">
        <f>(Tabla2410[[#This Row],[Columna4]]*CO$56/$BZ$56)*$CH$55</f>
        <v>#DIV/0!</v>
      </c>
      <c r="CP73" s="433" t="e">
        <f>(Tabla2410[[#This Row],[Columna4]]*CP$56/$BZ$56)*$CH$55</f>
        <v>#DIV/0!</v>
      </c>
      <c r="CQ73" s="433" t="e">
        <f>(Tabla2410[[#This Row],[Columna4]]*CQ$56/$BZ$56)*$CH$55</f>
        <v>#DIV/0!</v>
      </c>
      <c r="CR73" s="433" t="e">
        <f>(Tabla2410[[#This Row],[Columna4]]*CR$56/$BZ$56)*$CH$55</f>
        <v>#DIV/0!</v>
      </c>
      <c r="CS73" s="433" t="e">
        <f>(Tabla2410[[#This Row],[Columna4]]*CS$56/$BZ$56)*$CH$55</f>
        <v>#DIV/0!</v>
      </c>
      <c r="CT73" s="433" t="e">
        <f>(Tabla2410[[#This Row],[Columna4]]*CT$56/$BZ$56)*$CH$55</f>
        <v>#DIV/0!</v>
      </c>
      <c r="CV73" s="525"/>
      <c r="CW73" s="525"/>
      <c r="CX73" s="370" t="e">
        <f>$AS$70</f>
        <v>#DIV/0!</v>
      </c>
      <c r="CY73" s="242" t="str">
        <f>Tabla24[[#This Row],[Columna1]]</f>
        <v>C15</v>
      </c>
      <c r="CZ73" s="433" t="e">
        <f>Tabla24105[[#This Row],[Columna3]]/7</f>
        <v>#DIV/0!</v>
      </c>
      <c r="DA73" s="433" t="e">
        <f>Tabla24105[[#This Row],[Columna4]]/4.2</f>
        <v>#DIV/0!</v>
      </c>
      <c r="DB73" s="433" t="e">
        <f>Tabla2410[[#This Row],[Columna16]]</f>
        <v>#DIV/0!</v>
      </c>
      <c r="DC73" s="433" t="e">
        <f>(Tabla24105[[#This Row],[Columna4]]*DC$56/$CT$56)*$DB$55</f>
        <v>#DIV/0!</v>
      </c>
      <c r="DD73" s="433" t="e">
        <f>(Tabla24105[[#This Row],[Columna4]]*DD$56/$CT$56)*$DB$55</f>
        <v>#DIV/0!</v>
      </c>
      <c r="DE73" s="433" t="e">
        <f>(Tabla24105[[#This Row],[Columna4]]*DE$56/$CT$56)*$DB$55</f>
        <v>#DIV/0!</v>
      </c>
      <c r="DF73" s="433" t="e">
        <f>(Tabla24105[[#This Row],[Columna4]]*DF$56/$CT$56)*$DB$55</f>
        <v>#DIV/0!</v>
      </c>
      <c r="DG73" s="433" t="e">
        <f>(Tabla24105[[#This Row],[Columna4]]*DG$56/$CT$56)*$DB$55</f>
        <v>#DIV/0!</v>
      </c>
      <c r="DH73" s="433" t="e">
        <f>(Tabla24105[[#This Row],[Columna4]]*DH$56/$CT$56)*$DB$55</f>
        <v>#DIV/0!</v>
      </c>
      <c r="DI73" s="433" t="e">
        <f>(Tabla24105[[#This Row],[Columna4]]*DI$56/$CT$56)*$DB$55</f>
        <v>#DIV/0!</v>
      </c>
      <c r="DJ73" s="433" t="e">
        <f>(Tabla24105[[#This Row],[Columna4]]*DJ$56/$CT$56)*$DB$55</f>
        <v>#DIV/0!</v>
      </c>
      <c r="DK73" s="433" t="e">
        <f>(Tabla24105[[#This Row],[Columna4]]*DK$56/$CT$56)*$DB$55</f>
        <v>#DIV/0!</v>
      </c>
      <c r="DL73" s="433" t="e">
        <f>(Tabla24105[[#This Row],[Columna4]]*DL$56/$CT$56)*$DB$55</f>
        <v>#DIV/0!</v>
      </c>
      <c r="DM73" s="433" t="e">
        <f>(Tabla24105[[#This Row],[Columna4]]*DM$56/$CT$56)*$DB$55</f>
        <v>#DIV/0!</v>
      </c>
      <c r="DN73" s="433" t="e">
        <f>(Tabla24105[[#This Row],[Columna4]]*DN$56/$CT$56)*$DB$55</f>
        <v>#DIV/0!</v>
      </c>
      <c r="DP73" s="525"/>
      <c r="DQ73" s="525"/>
      <c r="DR73" s="370" t="e">
        <f>$AS$70</f>
        <v>#DIV/0!</v>
      </c>
      <c r="DS73" s="242" t="str">
        <f>Tabla24[[#This Row],[Columna1]]</f>
        <v>C15</v>
      </c>
      <c r="DT73" s="433" t="e">
        <f>Tabla241057[[#This Row],[Columna3]]/7</f>
        <v>#DIV/0!</v>
      </c>
      <c r="DU73" s="433" t="e">
        <f>Tabla241057[[#This Row],[Columna4]]/4.2</f>
        <v>#DIV/0!</v>
      </c>
      <c r="DV73" s="433" t="e">
        <f>Tabla24105[[#This Row],[Columna16]]</f>
        <v>#DIV/0!</v>
      </c>
      <c r="DW73" s="433" t="e">
        <f>(Tabla241057[[#This Row],[Columna4]]*DW$56/$DN$56)*$DV$55</f>
        <v>#DIV/0!</v>
      </c>
      <c r="DX73" s="433" t="e">
        <f>(Tabla241057[[#This Row],[Columna4]]*DX$56/$DN$56)*$DV$55</f>
        <v>#DIV/0!</v>
      </c>
      <c r="DY73" s="433" t="e">
        <f>(Tabla241057[[#This Row],[Columna4]]*DY$56/$DN$56)*$DV$55</f>
        <v>#DIV/0!</v>
      </c>
      <c r="DZ73" s="433" t="e">
        <f>(Tabla241057[[#This Row],[Columna4]]*DZ$56/$DN$56)*$DV$55</f>
        <v>#DIV/0!</v>
      </c>
      <c r="EA73" s="433" t="e">
        <f>(Tabla241057[[#This Row],[Columna4]]*EA$56/$DN$56)*$DV$55</f>
        <v>#DIV/0!</v>
      </c>
      <c r="EB73" s="433" t="e">
        <f>(Tabla241057[[#This Row],[Columna4]]*EB$56/$DN$56)*$DV$55</f>
        <v>#DIV/0!</v>
      </c>
      <c r="EC73" s="433" t="e">
        <f>(Tabla241057[[#This Row],[Columna4]]*EC$56/$DN$56)*$DV$55</f>
        <v>#DIV/0!</v>
      </c>
      <c r="ED73" s="433" t="e">
        <f>(Tabla241057[[#This Row],[Columna4]]*ED$56/$DN$56)*$DV$55</f>
        <v>#DIV/0!</v>
      </c>
      <c r="EE73" s="433" t="e">
        <f>(Tabla241057[[#This Row],[Columna4]]*EE$56/$DN$56)*$DV$55</f>
        <v>#DIV/0!</v>
      </c>
      <c r="EF73" s="433" t="e">
        <f>(Tabla241057[[#This Row],[Columna4]]*EF$56/$DN$56)*$DV$55</f>
        <v>#DIV/0!</v>
      </c>
      <c r="EG73" s="433" t="e">
        <f>(Tabla241057[[#This Row],[Columna4]]*EG$56/$DN$56)*$DV$55</f>
        <v>#DIV/0!</v>
      </c>
      <c r="EH73" s="433" t="e">
        <f>(Tabla241057[[#This Row],[Columna4]]*EH$56/$DN$56)*$DV$55</f>
        <v>#DIV/0!</v>
      </c>
      <c r="EJ73" s="525"/>
      <c r="EK73" s="525"/>
      <c r="EL73" s="370" t="e">
        <f>$AS$70</f>
        <v>#DIV/0!</v>
      </c>
      <c r="EM73" s="242" t="str">
        <f>Tabla24[[#This Row],[Columna1]]</f>
        <v>C15</v>
      </c>
      <c r="EN73" s="433" t="e">
        <f>Tabla24105711[[#This Row],[Columna3]]/7</f>
        <v>#DIV/0!</v>
      </c>
      <c r="EO73" s="433" t="e">
        <f>Tabla24105711[[#This Row],[Columna4]]/4.2</f>
        <v>#DIV/0!</v>
      </c>
      <c r="EP73" s="433" t="e">
        <f>Tabla241057[[#This Row],[Columna16]]</f>
        <v>#DIV/0!</v>
      </c>
      <c r="EQ73" s="433" t="e">
        <f>(Tabla24105711[[#This Row],[Columna4]]*EQ$56/$EH$56)*$EP$55</f>
        <v>#DIV/0!</v>
      </c>
      <c r="ER73" s="433" t="e">
        <f>(Tabla24105711[[#This Row],[Columna4]]*ER$56/$EH$56)*$EP$55</f>
        <v>#DIV/0!</v>
      </c>
      <c r="ES73" s="433" t="e">
        <f>(Tabla24105711[[#This Row],[Columna4]]*ES$56/$EH$56)*$EP$55</f>
        <v>#DIV/0!</v>
      </c>
      <c r="ET73" s="433" t="e">
        <f>(Tabla24105711[[#This Row],[Columna4]]*ET$56/$EH$56)*$EP$55</f>
        <v>#DIV/0!</v>
      </c>
      <c r="EU73" s="433" t="e">
        <f>(Tabla24105711[[#This Row],[Columna4]]*EU$56/$EH$56)*$EP$55</f>
        <v>#DIV/0!</v>
      </c>
      <c r="EV73" s="433" t="e">
        <f>(Tabla24105711[[#This Row],[Columna4]]*EV$56/$EH$56)*$EP$55</f>
        <v>#DIV/0!</v>
      </c>
      <c r="EW73" s="433" t="e">
        <f>(Tabla24105711[[#This Row],[Columna4]]*EW$56/$EH$56)*$EP$55</f>
        <v>#DIV/0!</v>
      </c>
      <c r="EX73" s="433" t="e">
        <f>(Tabla24105711[[#This Row],[Columna4]]*EX$56/$EH$56)*$EP$55</f>
        <v>#DIV/0!</v>
      </c>
      <c r="EY73" s="433" t="e">
        <f>(Tabla24105711[[#This Row],[Columna4]]*EY$56/$EH$56)*$EP$55</f>
        <v>#DIV/0!</v>
      </c>
      <c r="EZ73" s="433" t="e">
        <f>(Tabla24105711[[#This Row],[Columna4]]*EZ$56/$EH$56)*$EP$55</f>
        <v>#DIV/0!</v>
      </c>
      <c r="FA73" s="433" t="e">
        <f>(Tabla24105711[[#This Row],[Columna4]]*FA$56/$EH$56)*$EP$55</f>
        <v>#DIV/0!</v>
      </c>
      <c r="FB73" s="433" t="e">
        <f>(Tabla24105711[[#This Row],[Columna4]]*FB$56/$EH$56)*$EP$55</f>
        <v>#DIV/0!</v>
      </c>
      <c r="FD73" s="397" t="s">
        <v>102</v>
      </c>
      <c r="FE73" s="399" t="s">
        <v>99</v>
      </c>
      <c r="FF73" s="400">
        <f t="shared" si="293"/>
        <v>0</v>
      </c>
      <c r="FG73" s="400">
        <f t="shared" si="293"/>
        <v>0</v>
      </c>
      <c r="FH73" s="400">
        <f t="shared" si="293"/>
        <v>0</v>
      </c>
      <c r="FI73" s="400">
        <f t="shared" si="293"/>
        <v>0</v>
      </c>
      <c r="FJ73" s="400">
        <f t="shared" si="293"/>
        <v>0</v>
      </c>
      <c r="FK73" s="400">
        <f t="shared" si="293"/>
        <v>0</v>
      </c>
      <c r="FL73" s="400">
        <f t="shared" si="293"/>
        <v>0</v>
      </c>
      <c r="FM73" s="400">
        <f t="shared" si="293"/>
        <v>0</v>
      </c>
      <c r="FN73" s="400">
        <f t="shared" si="293"/>
        <v>0</v>
      </c>
      <c r="FO73" s="400">
        <f t="shared" si="293"/>
        <v>0</v>
      </c>
      <c r="FP73" s="400">
        <f t="shared" si="293"/>
        <v>0</v>
      </c>
      <c r="FQ73" s="400">
        <f t="shared" si="293"/>
        <v>0</v>
      </c>
      <c r="FR73" s="363">
        <f t="shared" si="197"/>
        <v>0</v>
      </c>
      <c r="FS73" s="260" t="e">
        <f t="shared" si="198"/>
        <v>#DIV/0!</v>
      </c>
      <c r="FX73" s="351"/>
      <c r="FY73" s="351"/>
      <c r="FZ73" s="351"/>
      <c r="GA73" s="351"/>
      <c r="GB73" s="351"/>
      <c r="GC73" s="351"/>
      <c r="GD73" s="351"/>
      <c r="GE73" s="351"/>
      <c r="GF73" s="351"/>
      <c r="GG73" s="351"/>
      <c r="GH73" s="351"/>
      <c r="GJ73" s="262"/>
      <c r="HD73" s="65" t="s">
        <v>547</v>
      </c>
      <c r="HE73" s="66">
        <v>0</v>
      </c>
      <c r="HF73" s="67">
        <f t="shared" si="299"/>
        <v>0</v>
      </c>
      <c r="HG73" s="68">
        <f t="shared" si="300"/>
        <v>0</v>
      </c>
      <c r="HH73" s="69">
        <v>1</v>
      </c>
      <c r="HI73" s="367">
        <v>0</v>
      </c>
      <c r="HJ73" s="143"/>
      <c r="HM73" s="283" t="str">
        <f>HM37</f>
        <v>TOTAL DE GASTOS</v>
      </c>
      <c r="HN73" s="316" t="e">
        <f>HN37+HP37+HR37</f>
        <v>#DIV/0!</v>
      </c>
      <c r="HO73" s="316"/>
      <c r="HP73" s="316" t="e">
        <f>HT37+HV37+HX37</f>
        <v>#DIV/0!</v>
      </c>
      <c r="HQ73" s="316"/>
      <c r="HR73" s="316" t="e">
        <f>HZ37+IB37+ID37</f>
        <v>#DIV/0!</v>
      </c>
      <c r="HS73" s="316"/>
      <c r="HT73" s="316" t="e">
        <f>IF37+IH37+IJ37</f>
        <v>#DIV/0!</v>
      </c>
      <c r="HU73" s="286"/>
      <c r="HV73" s="283"/>
      <c r="HW73" s="286"/>
      <c r="HX73" s="283"/>
      <c r="HY73" s="286"/>
      <c r="HZ73" s="283"/>
      <c r="IA73" s="286"/>
      <c r="IB73" s="283"/>
      <c r="IC73" s="286"/>
      <c r="ID73" s="283"/>
      <c r="IE73" s="286"/>
      <c r="IF73" s="283"/>
      <c r="IG73" s="286"/>
      <c r="IH73" s="283"/>
      <c r="II73" s="286"/>
      <c r="IJ73" s="283"/>
      <c r="IK73" s="286"/>
      <c r="IL73" s="283"/>
      <c r="IM73" s="288"/>
    </row>
    <row r="74" spans="39:247" ht="14.4" customHeight="1" x14ac:dyDescent="0.3">
      <c r="AM74" s="394">
        <f t="shared" si="270"/>
        <v>0</v>
      </c>
      <c r="AN74" s="394">
        <f t="shared" si="271"/>
        <v>0</v>
      </c>
      <c r="AO74" s="394">
        <f t="shared" si="272"/>
        <v>0</v>
      </c>
      <c r="AP74" s="394">
        <f t="shared" si="273"/>
        <v>0</v>
      </c>
      <c r="AQ74" s="395" t="s">
        <v>797</v>
      </c>
      <c r="AR74" s="297">
        <f t="shared" si="274"/>
        <v>0</v>
      </c>
      <c r="AS74" s="396" t="e">
        <f t="shared" si="267"/>
        <v>#DIV/0!</v>
      </c>
      <c r="AT74" s="531"/>
      <c r="AU74" s="531"/>
      <c r="AV74" s="299">
        <v>0</v>
      </c>
      <c r="AW74" s="300">
        <v>0</v>
      </c>
      <c r="AX74" s="301"/>
      <c r="BH74" s="525"/>
      <c r="BI74" s="525"/>
      <c r="BJ74" s="370" t="e">
        <f>$AS$71</f>
        <v>#DIV/0!</v>
      </c>
      <c r="BK74" s="242" t="str">
        <f t="shared" si="277"/>
        <v>C16</v>
      </c>
      <c r="BL74" s="433">
        <f>Tabla24[[#This Row],[Columna3]]/7</f>
        <v>0</v>
      </c>
      <c r="BM74" s="433">
        <f>Tabla24[[#This Row],[Columna4]]/4.2</f>
        <v>0</v>
      </c>
      <c r="BN74" s="433">
        <f t="shared" si="278"/>
        <v>0</v>
      </c>
      <c r="BO74" s="433">
        <f t="shared" si="279"/>
        <v>0</v>
      </c>
      <c r="BP74" s="433">
        <f t="shared" si="280"/>
        <v>0</v>
      </c>
      <c r="BQ74" s="433">
        <f t="shared" si="281"/>
        <v>0</v>
      </c>
      <c r="BR74" s="433">
        <f t="shared" si="282"/>
        <v>0</v>
      </c>
      <c r="BS74" s="433">
        <f t="shared" si="283"/>
        <v>0</v>
      </c>
      <c r="BT74" s="433">
        <f t="shared" si="284"/>
        <v>0</v>
      </c>
      <c r="BU74" s="433">
        <f t="shared" si="285"/>
        <v>0</v>
      </c>
      <c r="BV74" s="433">
        <f t="shared" si="286"/>
        <v>0</v>
      </c>
      <c r="BW74" s="433">
        <f t="shared" si="287"/>
        <v>0</v>
      </c>
      <c r="BX74" s="433">
        <f t="shared" si="288"/>
        <v>0</v>
      </c>
      <c r="BY74" s="433">
        <f t="shared" si="289"/>
        <v>0</v>
      </c>
      <c r="BZ74" s="433">
        <f t="shared" si="290"/>
        <v>0</v>
      </c>
      <c r="CB74" s="525"/>
      <c r="CC74" s="525"/>
      <c r="CD74" s="370" t="e">
        <f>$AS$71</f>
        <v>#DIV/0!</v>
      </c>
      <c r="CE74" s="242" t="str">
        <f>Tabla24[[#This Row],[Columna1]]</f>
        <v>C16</v>
      </c>
      <c r="CF74" s="433">
        <f>Tabla2410[[#This Row],[Columna3]]/7</f>
        <v>0</v>
      </c>
      <c r="CG74" s="433">
        <f>Tabla2410[[#This Row],[Columna4]]/4.2</f>
        <v>0</v>
      </c>
      <c r="CH74" s="433">
        <f>Tabla24[[#This Row],[Columna16]]</f>
        <v>0</v>
      </c>
      <c r="CI74" s="433" t="e">
        <f>(Tabla2410[[#This Row],[Columna4]]*CI$56/$BZ$56)*$CH$55</f>
        <v>#DIV/0!</v>
      </c>
      <c r="CJ74" s="433" t="e">
        <f>(Tabla2410[[#This Row],[Columna4]]*CJ$56/$BZ$56)*$CH$55</f>
        <v>#DIV/0!</v>
      </c>
      <c r="CK74" s="433" t="e">
        <f>(Tabla2410[[#This Row],[Columna4]]*CK$56/$BZ$56)*$CH$55</f>
        <v>#DIV/0!</v>
      </c>
      <c r="CL74" s="433" t="e">
        <f>(Tabla2410[[#This Row],[Columna4]]*CL$56/$BZ$56)*$CH$55</f>
        <v>#DIV/0!</v>
      </c>
      <c r="CM74" s="433" t="e">
        <f>(Tabla2410[[#This Row],[Columna4]]*CM$56/$BZ$56)*$CH$55</f>
        <v>#DIV/0!</v>
      </c>
      <c r="CN74" s="433" t="e">
        <f>(Tabla2410[[#This Row],[Columna4]]*CN$56/$BZ$56)*$CH$55</f>
        <v>#DIV/0!</v>
      </c>
      <c r="CO74" s="433" t="e">
        <f>(Tabla2410[[#This Row],[Columna4]]*CO$56/$BZ$56)*$CH$55</f>
        <v>#DIV/0!</v>
      </c>
      <c r="CP74" s="433" t="e">
        <f>(Tabla2410[[#This Row],[Columna4]]*CP$56/$BZ$56)*$CH$55</f>
        <v>#DIV/0!</v>
      </c>
      <c r="CQ74" s="433" t="e">
        <f>(Tabla2410[[#This Row],[Columna4]]*CQ$56/$BZ$56)*$CH$55</f>
        <v>#DIV/0!</v>
      </c>
      <c r="CR74" s="433" t="e">
        <f>(Tabla2410[[#This Row],[Columna4]]*CR$56/$BZ$56)*$CH$55</f>
        <v>#DIV/0!</v>
      </c>
      <c r="CS74" s="433" t="e">
        <f>(Tabla2410[[#This Row],[Columna4]]*CS$56/$BZ$56)*$CH$55</f>
        <v>#DIV/0!</v>
      </c>
      <c r="CT74" s="433" t="e">
        <f>(Tabla2410[[#This Row],[Columna4]]*CT$56/$BZ$56)*$CH$55</f>
        <v>#DIV/0!</v>
      </c>
      <c r="CV74" s="525"/>
      <c r="CW74" s="525"/>
      <c r="CX74" s="370" t="e">
        <f>$AS$71</f>
        <v>#DIV/0!</v>
      </c>
      <c r="CY74" s="242" t="str">
        <f>Tabla24[[#This Row],[Columna1]]</f>
        <v>C16</v>
      </c>
      <c r="CZ74" s="433" t="e">
        <f>Tabla24105[[#This Row],[Columna3]]/7</f>
        <v>#DIV/0!</v>
      </c>
      <c r="DA74" s="433" t="e">
        <f>Tabla24105[[#This Row],[Columna4]]/4.2</f>
        <v>#DIV/0!</v>
      </c>
      <c r="DB74" s="433" t="e">
        <f>Tabla2410[[#This Row],[Columna16]]</f>
        <v>#DIV/0!</v>
      </c>
      <c r="DC74" s="433" t="e">
        <f>(Tabla24105[[#This Row],[Columna4]]*DC$56/$CT$56)*$DB$55</f>
        <v>#DIV/0!</v>
      </c>
      <c r="DD74" s="433" t="e">
        <f>(Tabla24105[[#This Row],[Columna4]]*DD$56/$CT$56)*$DB$55</f>
        <v>#DIV/0!</v>
      </c>
      <c r="DE74" s="433" t="e">
        <f>(Tabla24105[[#This Row],[Columna4]]*DE$56/$CT$56)*$DB$55</f>
        <v>#DIV/0!</v>
      </c>
      <c r="DF74" s="433" t="e">
        <f>(Tabla24105[[#This Row],[Columna4]]*DF$56/$CT$56)*$DB$55</f>
        <v>#DIV/0!</v>
      </c>
      <c r="DG74" s="433" t="e">
        <f>(Tabla24105[[#This Row],[Columna4]]*DG$56/$CT$56)*$DB$55</f>
        <v>#DIV/0!</v>
      </c>
      <c r="DH74" s="433" t="e">
        <f>(Tabla24105[[#This Row],[Columna4]]*DH$56/$CT$56)*$DB$55</f>
        <v>#DIV/0!</v>
      </c>
      <c r="DI74" s="433" t="e">
        <f>(Tabla24105[[#This Row],[Columna4]]*DI$56/$CT$56)*$DB$55</f>
        <v>#DIV/0!</v>
      </c>
      <c r="DJ74" s="433" t="e">
        <f>(Tabla24105[[#This Row],[Columna4]]*DJ$56/$CT$56)*$DB$55</f>
        <v>#DIV/0!</v>
      </c>
      <c r="DK74" s="433" t="e">
        <f>(Tabla24105[[#This Row],[Columna4]]*DK$56/$CT$56)*$DB$55</f>
        <v>#DIV/0!</v>
      </c>
      <c r="DL74" s="433" t="e">
        <f>(Tabla24105[[#This Row],[Columna4]]*DL$56/$CT$56)*$DB$55</f>
        <v>#DIV/0!</v>
      </c>
      <c r="DM74" s="433" t="e">
        <f>(Tabla24105[[#This Row],[Columna4]]*DM$56/$CT$56)*$DB$55</f>
        <v>#DIV/0!</v>
      </c>
      <c r="DN74" s="433" t="e">
        <f>(Tabla24105[[#This Row],[Columna4]]*DN$56/$CT$56)*$DB$55</f>
        <v>#DIV/0!</v>
      </c>
      <c r="DP74" s="525"/>
      <c r="DQ74" s="525"/>
      <c r="DR74" s="370" t="e">
        <f>$AS$71</f>
        <v>#DIV/0!</v>
      </c>
      <c r="DS74" s="242" t="str">
        <f>Tabla24[[#This Row],[Columna1]]</f>
        <v>C16</v>
      </c>
      <c r="DT74" s="433" t="e">
        <f>Tabla241057[[#This Row],[Columna3]]/7</f>
        <v>#DIV/0!</v>
      </c>
      <c r="DU74" s="433" t="e">
        <f>Tabla241057[[#This Row],[Columna4]]/4.2</f>
        <v>#DIV/0!</v>
      </c>
      <c r="DV74" s="433" t="e">
        <f>Tabla24105[[#This Row],[Columna16]]</f>
        <v>#DIV/0!</v>
      </c>
      <c r="DW74" s="433" t="e">
        <f>(Tabla241057[[#This Row],[Columna4]]*DW$56/$DN$56)*$DV$55</f>
        <v>#DIV/0!</v>
      </c>
      <c r="DX74" s="433" t="e">
        <f>(Tabla241057[[#This Row],[Columna4]]*DX$56/$DN$56)*$DV$55</f>
        <v>#DIV/0!</v>
      </c>
      <c r="DY74" s="433" t="e">
        <f>(Tabla241057[[#This Row],[Columna4]]*DY$56/$DN$56)*$DV$55</f>
        <v>#DIV/0!</v>
      </c>
      <c r="DZ74" s="433" t="e">
        <f>(Tabla241057[[#This Row],[Columna4]]*DZ$56/$DN$56)*$DV$55</f>
        <v>#DIV/0!</v>
      </c>
      <c r="EA74" s="433" t="e">
        <f>(Tabla241057[[#This Row],[Columna4]]*EA$56/$DN$56)*$DV$55</f>
        <v>#DIV/0!</v>
      </c>
      <c r="EB74" s="433" t="e">
        <f>(Tabla241057[[#This Row],[Columna4]]*EB$56/$DN$56)*$DV$55</f>
        <v>#DIV/0!</v>
      </c>
      <c r="EC74" s="433" t="e">
        <f>(Tabla241057[[#This Row],[Columna4]]*EC$56/$DN$56)*$DV$55</f>
        <v>#DIV/0!</v>
      </c>
      <c r="ED74" s="433" t="e">
        <f>(Tabla241057[[#This Row],[Columna4]]*ED$56/$DN$56)*$DV$55</f>
        <v>#DIV/0!</v>
      </c>
      <c r="EE74" s="433" t="e">
        <f>(Tabla241057[[#This Row],[Columna4]]*EE$56/$DN$56)*$DV$55</f>
        <v>#DIV/0!</v>
      </c>
      <c r="EF74" s="433" t="e">
        <f>(Tabla241057[[#This Row],[Columna4]]*EF$56/$DN$56)*$DV$55</f>
        <v>#DIV/0!</v>
      </c>
      <c r="EG74" s="433" t="e">
        <f>(Tabla241057[[#This Row],[Columna4]]*EG$56/$DN$56)*$DV$55</f>
        <v>#DIV/0!</v>
      </c>
      <c r="EH74" s="433" t="e">
        <f>(Tabla241057[[#This Row],[Columna4]]*EH$56/$DN$56)*$DV$55</f>
        <v>#DIV/0!</v>
      </c>
      <c r="EJ74" s="525"/>
      <c r="EK74" s="525"/>
      <c r="EL74" s="370" t="e">
        <f>$AS$71</f>
        <v>#DIV/0!</v>
      </c>
      <c r="EM74" s="242" t="str">
        <f>Tabla24[[#This Row],[Columna1]]</f>
        <v>C16</v>
      </c>
      <c r="EN74" s="433" t="e">
        <f>Tabla24105711[[#This Row],[Columna3]]/7</f>
        <v>#DIV/0!</v>
      </c>
      <c r="EO74" s="433" t="e">
        <f>Tabla24105711[[#This Row],[Columna4]]/4.2</f>
        <v>#DIV/0!</v>
      </c>
      <c r="EP74" s="433" t="e">
        <f>Tabla241057[[#This Row],[Columna16]]</f>
        <v>#DIV/0!</v>
      </c>
      <c r="EQ74" s="433" t="e">
        <f>(Tabla24105711[[#This Row],[Columna4]]*EQ$56/$EH$56)*$EP$55</f>
        <v>#DIV/0!</v>
      </c>
      <c r="ER74" s="433" t="e">
        <f>(Tabla24105711[[#This Row],[Columna4]]*ER$56/$EH$56)*$EP$55</f>
        <v>#DIV/0!</v>
      </c>
      <c r="ES74" s="433" t="e">
        <f>(Tabla24105711[[#This Row],[Columna4]]*ES$56/$EH$56)*$EP$55</f>
        <v>#DIV/0!</v>
      </c>
      <c r="ET74" s="433" t="e">
        <f>(Tabla24105711[[#This Row],[Columna4]]*ET$56/$EH$56)*$EP$55</f>
        <v>#DIV/0!</v>
      </c>
      <c r="EU74" s="433" t="e">
        <f>(Tabla24105711[[#This Row],[Columna4]]*EU$56/$EH$56)*$EP$55</f>
        <v>#DIV/0!</v>
      </c>
      <c r="EV74" s="433" t="e">
        <f>(Tabla24105711[[#This Row],[Columna4]]*EV$56/$EH$56)*$EP$55</f>
        <v>#DIV/0!</v>
      </c>
      <c r="EW74" s="433" t="e">
        <f>(Tabla24105711[[#This Row],[Columna4]]*EW$56/$EH$56)*$EP$55</f>
        <v>#DIV/0!</v>
      </c>
      <c r="EX74" s="433" t="e">
        <f>(Tabla24105711[[#This Row],[Columna4]]*EX$56/$EH$56)*$EP$55</f>
        <v>#DIV/0!</v>
      </c>
      <c r="EY74" s="433" t="e">
        <f>(Tabla24105711[[#This Row],[Columna4]]*EY$56/$EH$56)*$EP$55</f>
        <v>#DIV/0!</v>
      </c>
      <c r="EZ74" s="433" t="e">
        <f>(Tabla24105711[[#This Row],[Columna4]]*EZ$56/$EH$56)*$EP$55</f>
        <v>#DIV/0!</v>
      </c>
      <c r="FA74" s="433" t="e">
        <f>(Tabla24105711[[#This Row],[Columna4]]*FA$56/$EH$56)*$EP$55</f>
        <v>#DIV/0!</v>
      </c>
      <c r="FB74" s="433" t="e">
        <f>(Tabla24105711[[#This Row],[Columna4]]*FB$56/$EH$56)*$EP$55</f>
        <v>#DIV/0!</v>
      </c>
      <c r="FD74" s="397" t="s">
        <v>104</v>
      </c>
      <c r="FE74" s="399" t="s">
        <v>101</v>
      </c>
      <c r="FF74" s="400">
        <f t="shared" si="293"/>
        <v>0</v>
      </c>
      <c r="FG74" s="400">
        <f t="shared" si="293"/>
        <v>0</v>
      </c>
      <c r="FH74" s="400">
        <f t="shared" si="293"/>
        <v>0</v>
      </c>
      <c r="FI74" s="400">
        <f t="shared" si="293"/>
        <v>0</v>
      </c>
      <c r="FJ74" s="400">
        <f t="shared" si="293"/>
        <v>0</v>
      </c>
      <c r="FK74" s="400">
        <f t="shared" si="293"/>
        <v>0</v>
      </c>
      <c r="FL74" s="400">
        <f t="shared" si="293"/>
        <v>0</v>
      </c>
      <c r="FM74" s="400">
        <f t="shared" si="293"/>
        <v>0</v>
      </c>
      <c r="FN74" s="400">
        <f t="shared" si="293"/>
        <v>0</v>
      </c>
      <c r="FO74" s="400">
        <f t="shared" si="293"/>
        <v>0</v>
      </c>
      <c r="FP74" s="400">
        <f t="shared" si="293"/>
        <v>0</v>
      </c>
      <c r="FQ74" s="400">
        <f t="shared" si="293"/>
        <v>0</v>
      </c>
      <c r="FR74" s="363">
        <f t="shared" si="197"/>
        <v>0</v>
      </c>
      <c r="FS74" s="260" t="e">
        <f t="shared" si="198"/>
        <v>#DIV/0!</v>
      </c>
      <c r="FV74" s="307" t="s">
        <v>280</v>
      </c>
      <c r="FW74" s="355" t="e">
        <f>($FF$12*(1+GH66+GH65+GD66))+(FW70*(GD65+GD64))</f>
        <v>#DIV/0!</v>
      </c>
      <c r="FX74" s="355" t="e">
        <f>($FG$12*(1+GH66+GH65+GD66))+(FX70*(GD65+GD64))</f>
        <v>#DIV/0!</v>
      </c>
      <c r="FY74" s="355" t="e">
        <f>($FH$12*(1+GH66+GH65+GD66))+(FY70*(GD65+GD64))</f>
        <v>#DIV/0!</v>
      </c>
      <c r="FZ74" s="355" t="e">
        <f>($FI$12*(1+GH66+GH65+GD66))+(FZ70*(GD65+GD64))</f>
        <v>#DIV/0!</v>
      </c>
      <c r="GA74" s="355" t="e">
        <f>($FJ$12*(1+GH66+GH65+GD66))+(GA70*(GD65+GD64))</f>
        <v>#DIV/0!</v>
      </c>
      <c r="GB74" s="355" t="e">
        <f>($FK$12*(1+GH66+GH65+GD66))+(GB70*(GD65+GD64))</f>
        <v>#DIV/0!</v>
      </c>
      <c r="GC74" s="355" t="e">
        <f>($FL$12*(1+GH66+GH65+GD66))+(GC70*(GD65+GD64))</f>
        <v>#DIV/0!</v>
      </c>
      <c r="GD74" s="355" t="e">
        <f>($FM$12*(1+GH66+GH65+GD66))+(GD70*(GD65+GD64))</f>
        <v>#DIV/0!</v>
      </c>
      <c r="GE74" s="355" t="e">
        <f>($FN$12*(1+GH66+GH65+GD66))+(GE70*(GD65+GD64))</f>
        <v>#DIV/0!</v>
      </c>
      <c r="GF74" s="355" t="e">
        <f>($FO$12*(1+GH66+GH65+GD66))+(GF70*(GD65+GD64))</f>
        <v>#DIV/0!</v>
      </c>
      <c r="GG74" s="355" t="e">
        <f>($FP$12*(1+GH66+GH65+GD66))+(GG70*(GD65+GD64))</f>
        <v>#DIV/0!</v>
      </c>
      <c r="GH74" s="355" t="e">
        <f>($FQ$12*(1+GH66+GH65+GD66))+(GH70*(GD65+GD64))</f>
        <v>#DIV/0!</v>
      </c>
      <c r="GI74" s="355" t="e">
        <f>SUM(FW74:GH74)</f>
        <v>#DIV/0!</v>
      </c>
      <c r="GJ74" s="262" t="e">
        <f t="shared" ref="GJ74:GJ75" si="301">GI74/$GI$6</f>
        <v>#DIV/0!</v>
      </c>
      <c r="HD74" s="65" t="s">
        <v>548</v>
      </c>
      <c r="HE74" s="66">
        <v>0</v>
      </c>
      <c r="HF74" s="67">
        <f t="shared" si="299"/>
        <v>0</v>
      </c>
      <c r="HG74" s="68">
        <f t="shared" si="300"/>
        <v>0</v>
      </c>
      <c r="HH74" s="69">
        <v>1</v>
      </c>
      <c r="HI74" s="367">
        <v>0</v>
      </c>
      <c r="HJ74" s="143"/>
      <c r="HM74" s="408" t="s">
        <v>598</v>
      </c>
      <c r="HN74" s="316" t="e">
        <f>HN72-HN73</f>
        <v>#DIV/0!</v>
      </c>
      <c r="HO74" s="316"/>
      <c r="HP74" s="316" t="e">
        <f>HP72-HP73</f>
        <v>#DIV/0!</v>
      </c>
      <c r="HQ74" s="316"/>
      <c r="HR74" s="316" t="e">
        <f>HR72-HR73</f>
        <v>#DIV/0!</v>
      </c>
      <c r="HS74" s="316"/>
      <c r="HT74" s="316" t="e">
        <f>HT72-HT73</f>
        <v>#DIV/0!</v>
      </c>
      <c r="HU74" s="286"/>
      <c r="HV74" s="283"/>
      <c r="HW74" s="286"/>
      <c r="HX74" s="283"/>
      <c r="HY74" s="286"/>
      <c r="HZ74" s="283"/>
      <c r="IA74" s="286"/>
      <c r="IB74" s="283"/>
      <c r="IC74" s="286"/>
      <c r="ID74" s="283"/>
      <c r="IE74" s="286"/>
      <c r="IF74" s="283"/>
      <c r="IG74" s="286"/>
      <c r="IH74" s="283"/>
      <c r="II74" s="286"/>
      <c r="IJ74" s="283"/>
      <c r="IK74" s="286"/>
      <c r="IL74" s="283"/>
      <c r="IM74" s="288"/>
    </row>
    <row r="75" spans="39:247" ht="14.4" customHeight="1" x14ac:dyDescent="0.3">
      <c r="AM75" s="394">
        <f t="shared" si="270"/>
        <v>0</v>
      </c>
      <c r="AN75" s="394">
        <f t="shared" si="271"/>
        <v>0</v>
      </c>
      <c r="AO75" s="394">
        <f t="shared" si="272"/>
        <v>0</v>
      </c>
      <c r="AP75" s="394">
        <f t="shared" si="273"/>
        <v>0</v>
      </c>
      <c r="AQ75" s="395" t="s">
        <v>799</v>
      </c>
      <c r="AR75" s="297">
        <f t="shared" si="274"/>
        <v>0</v>
      </c>
      <c r="AS75" s="396" t="e">
        <f t="shared" si="267"/>
        <v>#DIV/0!</v>
      </c>
      <c r="AT75" s="531"/>
      <c r="AU75" s="531"/>
      <c r="AV75" s="299">
        <v>0</v>
      </c>
      <c r="AW75" s="300">
        <v>0</v>
      </c>
      <c r="AX75" s="301"/>
      <c r="BH75" s="525"/>
      <c r="BI75" s="525"/>
      <c r="BJ75" s="370" t="e">
        <f>$AS$72</f>
        <v>#DIV/0!</v>
      </c>
      <c r="BK75" s="242" t="str">
        <f t="shared" si="277"/>
        <v>C17</v>
      </c>
      <c r="BL75" s="433">
        <f>Tabla24[[#This Row],[Columna3]]/7</f>
        <v>0</v>
      </c>
      <c r="BM75" s="433">
        <f>Tabla24[[#This Row],[Columna4]]/4.2</f>
        <v>0</v>
      </c>
      <c r="BN75" s="433">
        <f t="shared" si="278"/>
        <v>0</v>
      </c>
      <c r="BO75" s="433">
        <f t="shared" si="279"/>
        <v>0</v>
      </c>
      <c r="BP75" s="433">
        <f t="shared" si="280"/>
        <v>0</v>
      </c>
      <c r="BQ75" s="433">
        <f t="shared" si="281"/>
        <v>0</v>
      </c>
      <c r="BR75" s="433">
        <f t="shared" si="282"/>
        <v>0</v>
      </c>
      <c r="BS75" s="433">
        <f t="shared" si="283"/>
        <v>0</v>
      </c>
      <c r="BT75" s="433">
        <f t="shared" si="284"/>
        <v>0</v>
      </c>
      <c r="BU75" s="433">
        <f t="shared" si="285"/>
        <v>0</v>
      </c>
      <c r="BV75" s="433">
        <f t="shared" si="286"/>
        <v>0</v>
      </c>
      <c r="BW75" s="433">
        <f t="shared" si="287"/>
        <v>0</v>
      </c>
      <c r="BX75" s="433">
        <f t="shared" si="288"/>
        <v>0</v>
      </c>
      <c r="BY75" s="433">
        <f t="shared" si="289"/>
        <v>0</v>
      </c>
      <c r="BZ75" s="433">
        <f t="shared" si="290"/>
        <v>0</v>
      </c>
      <c r="CB75" s="525"/>
      <c r="CC75" s="525"/>
      <c r="CD75" s="370" t="e">
        <f>$AS$72</f>
        <v>#DIV/0!</v>
      </c>
      <c r="CE75" s="242" t="str">
        <f>Tabla24[[#This Row],[Columna1]]</f>
        <v>C17</v>
      </c>
      <c r="CF75" s="433">
        <f>Tabla2410[[#This Row],[Columna3]]/7</f>
        <v>0</v>
      </c>
      <c r="CG75" s="433">
        <f>Tabla2410[[#This Row],[Columna4]]/4.2</f>
        <v>0</v>
      </c>
      <c r="CH75" s="433">
        <f>Tabla24[[#This Row],[Columna16]]</f>
        <v>0</v>
      </c>
      <c r="CI75" s="433" t="e">
        <f>(Tabla2410[[#This Row],[Columna4]]*CI$56/$BZ$56)*$CH$55</f>
        <v>#DIV/0!</v>
      </c>
      <c r="CJ75" s="433" t="e">
        <f>(Tabla2410[[#This Row],[Columna4]]*CJ$56/$BZ$56)*$CH$55</f>
        <v>#DIV/0!</v>
      </c>
      <c r="CK75" s="433" t="e">
        <f>(Tabla2410[[#This Row],[Columna4]]*CK$56/$BZ$56)*$CH$55</f>
        <v>#DIV/0!</v>
      </c>
      <c r="CL75" s="433" t="e">
        <f>(Tabla2410[[#This Row],[Columna4]]*CL$56/$BZ$56)*$CH$55</f>
        <v>#DIV/0!</v>
      </c>
      <c r="CM75" s="433" t="e">
        <f>(Tabla2410[[#This Row],[Columna4]]*CM$56/$BZ$56)*$CH$55</f>
        <v>#DIV/0!</v>
      </c>
      <c r="CN75" s="433" t="e">
        <f>(Tabla2410[[#This Row],[Columna4]]*CN$56/$BZ$56)*$CH$55</f>
        <v>#DIV/0!</v>
      </c>
      <c r="CO75" s="433" t="e">
        <f>(Tabla2410[[#This Row],[Columna4]]*CO$56/$BZ$56)*$CH$55</f>
        <v>#DIV/0!</v>
      </c>
      <c r="CP75" s="433" t="e">
        <f>(Tabla2410[[#This Row],[Columna4]]*CP$56/$BZ$56)*$CH$55</f>
        <v>#DIV/0!</v>
      </c>
      <c r="CQ75" s="433" t="e">
        <f>(Tabla2410[[#This Row],[Columna4]]*CQ$56/$BZ$56)*$CH$55</f>
        <v>#DIV/0!</v>
      </c>
      <c r="CR75" s="433" t="e">
        <f>(Tabla2410[[#This Row],[Columna4]]*CR$56/$BZ$56)*$CH$55</f>
        <v>#DIV/0!</v>
      </c>
      <c r="CS75" s="433" t="e">
        <f>(Tabla2410[[#This Row],[Columna4]]*CS$56/$BZ$56)*$CH$55</f>
        <v>#DIV/0!</v>
      </c>
      <c r="CT75" s="433" t="e">
        <f>(Tabla2410[[#This Row],[Columna4]]*CT$56/$BZ$56)*$CH$55</f>
        <v>#DIV/0!</v>
      </c>
      <c r="CV75" s="525"/>
      <c r="CW75" s="525"/>
      <c r="CX75" s="370" t="e">
        <f>$AS$72</f>
        <v>#DIV/0!</v>
      </c>
      <c r="CY75" s="242" t="str">
        <f>Tabla24[[#This Row],[Columna1]]</f>
        <v>C17</v>
      </c>
      <c r="CZ75" s="433" t="e">
        <f>Tabla24105[[#This Row],[Columna3]]/7</f>
        <v>#DIV/0!</v>
      </c>
      <c r="DA75" s="433" t="e">
        <f>Tabla24105[[#This Row],[Columna4]]/4.2</f>
        <v>#DIV/0!</v>
      </c>
      <c r="DB75" s="433" t="e">
        <f>Tabla2410[[#This Row],[Columna16]]</f>
        <v>#DIV/0!</v>
      </c>
      <c r="DC75" s="433" t="e">
        <f>(Tabla24105[[#This Row],[Columna4]]*DC$56/$CT$56)*$DB$55</f>
        <v>#DIV/0!</v>
      </c>
      <c r="DD75" s="433" t="e">
        <f>(Tabla24105[[#This Row],[Columna4]]*DD$56/$CT$56)*$DB$55</f>
        <v>#DIV/0!</v>
      </c>
      <c r="DE75" s="433" t="e">
        <f>(Tabla24105[[#This Row],[Columna4]]*DE$56/$CT$56)*$DB$55</f>
        <v>#DIV/0!</v>
      </c>
      <c r="DF75" s="433" t="e">
        <f>(Tabla24105[[#This Row],[Columna4]]*DF$56/$CT$56)*$DB$55</f>
        <v>#DIV/0!</v>
      </c>
      <c r="DG75" s="433" t="e">
        <f>(Tabla24105[[#This Row],[Columna4]]*DG$56/$CT$56)*$DB$55</f>
        <v>#DIV/0!</v>
      </c>
      <c r="DH75" s="433" t="e">
        <f>(Tabla24105[[#This Row],[Columna4]]*DH$56/$CT$56)*$DB$55</f>
        <v>#DIV/0!</v>
      </c>
      <c r="DI75" s="433" t="e">
        <f>(Tabla24105[[#This Row],[Columna4]]*DI$56/$CT$56)*$DB$55</f>
        <v>#DIV/0!</v>
      </c>
      <c r="DJ75" s="433" t="e">
        <f>(Tabla24105[[#This Row],[Columna4]]*DJ$56/$CT$56)*$DB$55</f>
        <v>#DIV/0!</v>
      </c>
      <c r="DK75" s="433" t="e">
        <f>(Tabla24105[[#This Row],[Columna4]]*DK$56/$CT$56)*$DB$55</f>
        <v>#DIV/0!</v>
      </c>
      <c r="DL75" s="433" t="e">
        <f>(Tabla24105[[#This Row],[Columna4]]*DL$56/$CT$56)*$DB$55</f>
        <v>#DIV/0!</v>
      </c>
      <c r="DM75" s="433" t="e">
        <f>(Tabla24105[[#This Row],[Columna4]]*DM$56/$CT$56)*$DB$55</f>
        <v>#DIV/0!</v>
      </c>
      <c r="DN75" s="433" t="e">
        <f>(Tabla24105[[#This Row],[Columna4]]*DN$56/$CT$56)*$DB$55</f>
        <v>#DIV/0!</v>
      </c>
      <c r="DP75" s="525"/>
      <c r="DQ75" s="525"/>
      <c r="DR75" s="370" t="e">
        <f>$AS$72</f>
        <v>#DIV/0!</v>
      </c>
      <c r="DS75" s="242" t="str">
        <f>Tabla24[[#This Row],[Columna1]]</f>
        <v>C17</v>
      </c>
      <c r="DT75" s="433" t="e">
        <f>Tabla241057[[#This Row],[Columna3]]/7</f>
        <v>#DIV/0!</v>
      </c>
      <c r="DU75" s="433" t="e">
        <f>Tabla241057[[#This Row],[Columna4]]/4.2</f>
        <v>#DIV/0!</v>
      </c>
      <c r="DV75" s="433" t="e">
        <f>Tabla24105[[#This Row],[Columna16]]</f>
        <v>#DIV/0!</v>
      </c>
      <c r="DW75" s="433" t="e">
        <f>(Tabla241057[[#This Row],[Columna4]]*DW$56/$DN$56)*$DV$55</f>
        <v>#DIV/0!</v>
      </c>
      <c r="DX75" s="433" t="e">
        <f>(Tabla241057[[#This Row],[Columna4]]*DX$56/$DN$56)*$DV$55</f>
        <v>#DIV/0!</v>
      </c>
      <c r="DY75" s="433" t="e">
        <f>(Tabla241057[[#This Row],[Columna4]]*DY$56/$DN$56)*$DV$55</f>
        <v>#DIV/0!</v>
      </c>
      <c r="DZ75" s="433" t="e">
        <f>(Tabla241057[[#This Row],[Columna4]]*DZ$56/$DN$56)*$DV$55</f>
        <v>#DIV/0!</v>
      </c>
      <c r="EA75" s="433" t="e">
        <f>(Tabla241057[[#This Row],[Columna4]]*EA$56/$DN$56)*$DV$55</f>
        <v>#DIV/0!</v>
      </c>
      <c r="EB75" s="433" t="e">
        <f>(Tabla241057[[#This Row],[Columna4]]*EB$56/$DN$56)*$DV$55</f>
        <v>#DIV/0!</v>
      </c>
      <c r="EC75" s="433" t="e">
        <f>(Tabla241057[[#This Row],[Columna4]]*EC$56/$DN$56)*$DV$55</f>
        <v>#DIV/0!</v>
      </c>
      <c r="ED75" s="433" t="e">
        <f>(Tabla241057[[#This Row],[Columna4]]*ED$56/$DN$56)*$DV$55</f>
        <v>#DIV/0!</v>
      </c>
      <c r="EE75" s="433" t="e">
        <f>(Tabla241057[[#This Row],[Columna4]]*EE$56/$DN$56)*$DV$55</f>
        <v>#DIV/0!</v>
      </c>
      <c r="EF75" s="433" t="e">
        <f>(Tabla241057[[#This Row],[Columna4]]*EF$56/$DN$56)*$DV$55</f>
        <v>#DIV/0!</v>
      </c>
      <c r="EG75" s="433" t="e">
        <f>(Tabla241057[[#This Row],[Columna4]]*EG$56/$DN$56)*$DV$55</f>
        <v>#DIV/0!</v>
      </c>
      <c r="EH75" s="433" t="e">
        <f>(Tabla241057[[#This Row],[Columna4]]*EH$56/$DN$56)*$DV$55</f>
        <v>#DIV/0!</v>
      </c>
      <c r="EJ75" s="525"/>
      <c r="EK75" s="525"/>
      <c r="EL75" s="370" t="e">
        <f>$AS$72</f>
        <v>#DIV/0!</v>
      </c>
      <c r="EM75" s="242" t="str">
        <f>Tabla24[[#This Row],[Columna1]]</f>
        <v>C17</v>
      </c>
      <c r="EN75" s="433" t="e">
        <f>Tabla24105711[[#This Row],[Columna3]]/7</f>
        <v>#DIV/0!</v>
      </c>
      <c r="EO75" s="433" t="e">
        <f>Tabla24105711[[#This Row],[Columna4]]/4.2</f>
        <v>#DIV/0!</v>
      </c>
      <c r="EP75" s="433" t="e">
        <f>Tabla241057[[#This Row],[Columna16]]</f>
        <v>#DIV/0!</v>
      </c>
      <c r="EQ75" s="433" t="e">
        <f>(Tabla24105711[[#This Row],[Columna4]]*EQ$56/$EH$56)*$EP$55</f>
        <v>#DIV/0!</v>
      </c>
      <c r="ER75" s="433" t="e">
        <f>(Tabla24105711[[#This Row],[Columna4]]*ER$56/$EH$56)*$EP$55</f>
        <v>#DIV/0!</v>
      </c>
      <c r="ES75" s="433" t="e">
        <f>(Tabla24105711[[#This Row],[Columna4]]*ES$56/$EH$56)*$EP$55</f>
        <v>#DIV/0!</v>
      </c>
      <c r="ET75" s="433" t="e">
        <f>(Tabla24105711[[#This Row],[Columna4]]*ET$56/$EH$56)*$EP$55</f>
        <v>#DIV/0!</v>
      </c>
      <c r="EU75" s="433" t="e">
        <f>(Tabla24105711[[#This Row],[Columna4]]*EU$56/$EH$56)*$EP$55</f>
        <v>#DIV/0!</v>
      </c>
      <c r="EV75" s="433" t="e">
        <f>(Tabla24105711[[#This Row],[Columna4]]*EV$56/$EH$56)*$EP$55</f>
        <v>#DIV/0!</v>
      </c>
      <c r="EW75" s="433" t="e">
        <f>(Tabla24105711[[#This Row],[Columna4]]*EW$56/$EH$56)*$EP$55</f>
        <v>#DIV/0!</v>
      </c>
      <c r="EX75" s="433" t="e">
        <f>(Tabla24105711[[#This Row],[Columna4]]*EX$56/$EH$56)*$EP$55</f>
        <v>#DIV/0!</v>
      </c>
      <c r="EY75" s="433" t="e">
        <f>(Tabla24105711[[#This Row],[Columna4]]*EY$56/$EH$56)*$EP$55</f>
        <v>#DIV/0!</v>
      </c>
      <c r="EZ75" s="433" t="e">
        <f>(Tabla24105711[[#This Row],[Columna4]]*EZ$56/$EH$56)*$EP$55</f>
        <v>#DIV/0!</v>
      </c>
      <c r="FA75" s="433" t="e">
        <f>(Tabla24105711[[#This Row],[Columna4]]*FA$56/$EH$56)*$EP$55</f>
        <v>#DIV/0!</v>
      </c>
      <c r="FB75" s="433" t="e">
        <f>(Tabla24105711[[#This Row],[Columna4]]*FB$56/$EH$56)*$EP$55</f>
        <v>#DIV/0!</v>
      </c>
      <c r="FD75" s="397" t="s">
        <v>106</v>
      </c>
      <c r="FE75" s="399" t="s">
        <v>103</v>
      </c>
      <c r="FF75" s="400">
        <f t="shared" si="293"/>
        <v>0</v>
      </c>
      <c r="FG75" s="400">
        <f t="shared" si="293"/>
        <v>0</v>
      </c>
      <c r="FH75" s="400">
        <f t="shared" si="293"/>
        <v>0</v>
      </c>
      <c r="FI75" s="400">
        <f t="shared" si="293"/>
        <v>0</v>
      </c>
      <c r="FJ75" s="400">
        <f t="shared" si="293"/>
        <v>0</v>
      </c>
      <c r="FK75" s="400">
        <f t="shared" si="293"/>
        <v>0</v>
      </c>
      <c r="FL75" s="400">
        <f t="shared" si="293"/>
        <v>0</v>
      </c>
      <c r="FM75" s="400">
        <f t="shared" si="293"/>
        <v>0</v>
      </c>
      <c r="FN75" s="400">
        <f t="shared" si="293"/>
        <v>0</v>
      </c>
      <c r="FO75" s="400">
        <f t="shared" si="293"/>
        <v>0</v>
      </c>
      <c r="FP75" s="400">
        <f t="shared" si="293"/>
        <v>0</v>
      </c>
      <c r="FQ75" s="400">
        <f t="shared" si="293"/>
        <v>0</v>
      </c>
      <c r="FR75" s="363">
        <f t="shared" si="197"/>
        <v>0</v>
      </c>
      <c r="FS75" s="260" t="e">
        <f t="shared" si="198"/>
        <v>#DIV/0!</v>
      </c>
      <c r="FV75" s="357" t="s">
        <v>449</v>
      </c>
      <c r="FW75" s="358" t="e">
        <f>FW72-FW74</f>
        <v>#DIV/0!</v>
      </c>
      <c r="FX75" s="358" t="e">
        <f t="shared" ref="FX75:GH75" si="302">FX72-FX74</f>
        <v>#DIV/0!</v>
      </c>
      <c r="FY75" s="358" t="e">
        <f t="shared" si="302"/>
        <v>#DIV/0!</v>
      </c>
      <c r="FZ75" s="358" t="e">
        <f t="shared" si="302"/>
        <v>#DIV/0!</v>
      </c>
      <c r="GA75" s="358" t="e">
        <f t="shared" si="302"/>
        <v>#DIV/0!</v>
      </c>
      <c r="GB75" s="358" t="e">
        <f t="shared" si="302"/>
        <v>#DIV/0!</v>
      </c>
      <c r="GC75" s="358" t="e">
        <f t="shared" si="302"/>
        <v>#DIV/0!</v>
      </c>
      <c r="GD75" s="358" t="e">
        <f t="shared" si="302"/>
        <v>#DIV/0!</v>
      </c>
      <c r="GE75" s="358" t="e">
        <f t="shared" si="302"/>
        <v>#DIV/0!</v>
      </c>
      <c r="GF75" s="358" t="e">
        <f t="shared" si="302"/>
        <v>#DIV/0!</v>
      </c>
      <c r="GG75" s="358" t="e">
        <f t="shared" si="302"/>
        <v>#DIV/0!</v>
      </c>
      <c r="GH75" s="358" t="e">
        <f t="shared" si="302"/>
        <v>#DIV/0!</v>
      </c>
      <c r="GI75" s="309" t="e">
        <f>SUM(FW75:GH75)</f>
        <v>#DIV/0!</v>
      </c>
      <c r="GJ75" s="262" t="e">
        <f t="shared" si="301"/>
        <v>#DIV/0!</v>
      </c>
      <c r="HD75" s="65" t="s">
        <v>708</v>
      </c>
      <c r="HE75" s="66">
        <v>0</v>
      </c>
      <c r="HF75" s="67">
        <f t="shared" si="299"/>
        <v>0</v>
      </c>
      <c r="HG75" s="68">
        <f t="shared" si="300"/>
        <v>0</v>
      </c>
      <c r="HH75" s="69">
        <v>1</v>
      </c>
      <c r="HI75" s="367">
        <v>0</v>
      </c>
      <c r="HJ75" s="143"/>
      <c r="HM75" s="283" t="str">
        <f>HM41</f>
        <v>Impuestos</v>
      </c>
      <c r="HN75" s="316" t="e">
        <f>MAX(HN74*30%,HN71*1%)</f>
        <v>#DIV/0!</v>
      </c>
      <c r="HO75" s="316"/>
      <c r="HP75" s="316" t="e">
        <f>MAX(HP74*30%,HP71*1%)</f>
        <v>#DIV/0!</v>
      </c>
      <c r="HQ75" s="316"/>
      <c r="HR75" s="316" t="e">
        <f>MAX(HR74*30%,HR71*1%)</f>
        <v>#DIV/0!</v>
      </c>
      <c r="HS75" s="316"/>
      <c r="HT75" s="316" t="e">
        <f>MAX(HT74*30%,HT71*1%)</f>
        <v>#DIV/0!</v>
      </c>
      <c r="HU75" s="286"/>
      <c r="HV75" s="283"/>
      <c r="HW75" s="286"/>
      <c r="HX75" s="283"/>
      <c r="HY75" s="286"/>
      <c r="HZ75" s="283"/>
      <c r="IA75" s="286"/>
      <c r="IB75" s="283"/>
      <c r="IC75" s="286"/>
      <c r="ID75" s="283"/>
      <c r="IE75" s="286"/>
      <c r="IF75" s="283"/>
      <c r="IG75" s="286"/>
      <c r="IH75" s="283"/>
      <c r="II75" s="286"/>
      <c r="IJ75" s="283"/>
      <c r="IK75" s="286"/>
      <c r="IL75" s="283"/>
      <c r="IM75" s="288"/>
    </row>
    <row r="76" spans="39:247" ht="14.4" customHeight="1" x14ac:dyDescent="0.3">
      <c r="AM76" s="394">
        <f t="shared" si="270"/>
        <v>0</v>
      </c>
      <c r="AN76" s="394">
        <f t="shared" si="271"/>
        <v>0</v>
      </c>
      <c r="AO76" s="394">
        <f t="shared" si="272"/>
        <v>0</v>
      </c>
      <c r="AP76" s="394">
        <f t="shared" si="273"/>
        <v>0</v>
      </c>
      <c r="AQ76" s="395" t="s">
        <v>801</v>
      </c>
      <c r="AR76" s="297">
        <f t="shared" si="274"/>
        <v>0</v>
      </c>
      <c r="AS76" s="396" t="e">
        <f t="shared" si="267"/>
        <v>#DIV/0!</v>
      </c>
      <c r="AT76" s="531"/>
      <c r="AU76" s="531"/>
      <c r="AV76" s="299">
        <v>0</v>
      </c>
      <c r="AW76" s="300">
        <v>0</v>
      </c>
      <c r="AX76" s="301"/>
      <c r="BH76" s="531" t="s">
        <v>321</v>
      </c>
      <c r="BI76" s="531" t="e">
        <f>SUM(BJ76:BJ84)</f>
        <v>#DIV/0!</v>
      </c>
      <c r="BJ76" s="396" t="e">
        <f>$AS$73</f>
        <v>#DIV/0!</v>
      </c>
      <c r="BK76" s="242" t="str">
        <f t="shared" si="277"/>
        <v>C18</v>
      </c>
      <c r="BL76" s="433">
        <f>Tabla24[[#This Row],[Columna3]]/7</f>
        <v>0</v>
      </c>
      <c r="BM76" s="433">
        <f>Tabla24[[#This Row],[Columna4]]/4.2</f>
        <v>0</v>
      </c>
      <c r="BN76" s="433">
        <f t="shared" si="278"/>
        <v>0</v>
      </c>
      <c r="BO76" s="433">
        <f t="shared" si="279"/>
        <v>0</v>
      </c>
      <c r="BP76" s="433">
        <f t="shared" si="280"/>
        <v>0</v>
      </c>
      <c r="BQ76" s="433">
        <f t="shared" si="281"/>
        <v>0</v>
      </c>
      <c r="BR76" s="433">
        <f t="shared" si="282"/>
        <v>0</v>
      </c>
      <c r="BS76" s="433">
        <f t="shared" si="283"/>
        <v>0</v>
      </c>
      <c r="BT76" s="433">
        <f t="shared" si="284"/>
        <v>0</v>
      </c>
      <c r="BU76" s="433">
        <f t="shared" si="285"/>
        <v>0</v>
      </c>
      <c r="BV76" s="433">
        <f t="shared" si="286"/>
        <v>0</v>
      </c>
      <c r="BW76" s="433">
        <f t="shared" si="287"/>
        <v>0</v>
      </c>
      <c r="BX76" s="433">
        <f t="shared" si="288"/>
        <v>0</v>
      </c>
      <c r="BY76" s="433">
        <f t="shared" si="289"/>
        <v>0</v>
      </c>
      <c r="BZ76" s="433">
        <f t="shared" si="290"/>
        <v>0</v>
      </c>
      <c r="CB76" s="531" t="s">
        <v>321</v>
      </c>
      <c r="CC76" s="531" t="e">
        <f>SUM(CD76:CD84)</f>
        <v>#DIV/0!</v>
      </c>
      <c r="CD76" s="396" t="e">
        <f>$AS$73</f>
        <v>#DIV/0!</v>
      </c>
      <c r="CE76" s="242" t="str">
        <f>Tabla24[[#This Row],[Columna1]]</f>
        <v>C18</v>
      </c>
      <c r="CF76" s="433">
        <f>Tabla2410[[#This Row],[Columna3]]/7</f>
        <v>0</v>
      </c>
      <c r="CG76" s="433">
        <f>Tabla2410[[#This Row],[Columna4]]/4.2</f>
        <v>0</v>
      </c>
      <c r="CH76" s="433">
        <f>Tabla24[[#This Row],[Columna16]]</f>
        <v>0</v>
      </c>
      <c r="CI76" s="433" t="e">
        <f>(Tabla2410[[#This Row],[Columna4]]*CI$56/$BZ$56)*$CH$55</f>
        <v>#DIV/0!</v>
      </c>
      <c r="CJ76" s="433" t="e">
        <f>(Tabla2410[[#This Row],[Columna4]]*CJ$56/$BZ$56)*$CH$55</f>
        <v>#DIV/0!</v>
      </c>
      <c r="CK76" s="433" t="e">
        <f>(Tabla2410[[#This Row],[Columna4]]*CK$56/$BZ$56)*$CH$55</f>
        <v>#DIV/0!</v>
      </c>
      <c r="CL76" s="433" t="e">
        <f>(Tabla2410[[#This Row],[Columna4]]*CL$56/$BZ$56)*$CH$55</f>
        <v>#DIV/0!</v>
      </c>
      <c r="CM76" s="433" t="e">
        <f>(Tabla2410[[#This Row],[Columna4]]*CM$56/$BZ$56)*$CH$55</f>
        <v>#DIV/0!</v>
      </c>
      <c r="CN76" s="433" t="e">
        <f>(Tabla2410[[#This Row],[Columna4]]*CN$56/$BZ$56)*$CH$55</f>
        <v>#DIV/0!</v>
      </c>
      <c r="CO76" s="433" t="e">
        <f>(Tabla2410[[#This Row],[Columna4]]*CO$56/$BZ$56)*$CH$55</f>
        <v>#DIV/0!</v>
      </c>
      <c r="CP76" s="433" t="e">
        <f>(Tabla2410[[#This Row],[Columna4]]*CP$56/$BZ$56)*$CH$55</f>
        <v>#DIV/0!</v>
      </c>
      <c r="CQ76" s="433" t="e">
        <f>(Tabla2410[[#This Row],[Columna4]]*CQ$56/$BZ$56)*$CH$55</f>
        <v>#DIV/0!</v>
      </c>
      <c r="CR76" s="433" t="e">
        <f>(Tabla2410[[#This Row],[Columna4]]*CR$56/$BZ$56)*$CH$55</f>
        <v>#DIV/0!</v>
      </c>
      <c r="CS76" s="433" t="e">
        <f>(Tabla2410[[#This Row],[Columna4]]*CS$56/$BZ$56)*$CH$55</f>
        <v>#DIV/0!</v>
      </c>
      <c r="CT76" s="433" t="e">
        <f>(Tabla2410[[#This Row],[Columna4]]*CT$56/$BZ$56)*$CH$55</f>
        <v>#DIV/0!</v>
      </c>
      <c r="CV76" s="531" t="s">
        <v>321</v>
      </c>
      <c r="CW76" s="531" t="e">
        <f>SUM(CX76:CX84)</f>
        <v>#DIV/0!</v>
      </c>
      <c r="CX76" s="396" t="e">
        <f>$AS$73</f>
        <v>#DIV/0!</v>
      </c>
      <c r="CY76" s="242" t="str">
        <f>Tabla24[[#This Row],[Columna1]]</f>
        <v>C18</v>
      </c>
      <c r="CZ76" s="433" t="e">
        <f>Tabla24105[[#This Row],[Columna3]]/7</f>
        <v>#DIV/0!</v>
      </c>
      <c r="DA76" s="433" t="e">
        <f>Tabla24105[[#This Row],[Columna4]]/4.2</f>
        <v>#DIV/0!</v>
      </c>
      <c r="DB76" s="433" t="e">
        <f>Tabla2410[[#This Row],[Columna16]]</f>
        <v>#DIV/0!</v>
      </c>
      <c r="DC76" s="433" t="e">
        <f>(Tabla24105[[#This Row],[Columna4]]*DC$56/$CT$56)*$DB$55</f>
        <v>#DIV/0!</v>
      </c>
      <c r="DD76" s="433" t="e">
        <f>(Tabla24105[[#This Row],[Columna4]]*DD$56/$CT$56)*$DB$55</f>
        <v>#DIV/0!</v>
      </c>
      <c r="DE76" s="433" t="e">
        <f>(Tabla24105[[#This Row],[Columna4]]*DE$56/$CT$56)*$DB$55</f>
        <v>#DIV/0!</v>
      </c>
      <c r="DF76" s="433" t="e">
        <f>(Tabla24105[[#This Row],[Columna4]]*DF$56/$CT$56)*$DB$55</f>
        <v>#DIV/0!</v>
      </c>
      <c r="DG76" s="433" t="e">
        <f>(Tabla24105[[#This Row],[Columna4]]*DG$56/$CT$56)*$DB$55</f>
        <v>#DIV/0!</v>
      </c>
      <c r="DH76" s="433" t="e">
        <f>(Tabla24105[[#This Row],[Columna4]]*DH$56/$CT$56)*$DB$55</f>
        <v>#DIV/0!</v>
      </c>
      <c r="DI76" s="433" t="e">
        <f>(Tabla24105[[#This Row],[Columna4]]*DI$56/$CT$56)*$DB$55</f>
        <v>#DIV/0!</v>
      </c>
      <c r="DJ76" s="433" t="e">
        <f>(Tabla24105[[#This Row],[Columna4]]*DJ$56/$CT$56)*$DB$55</f>
        <v>#DIV/0!</v>
      </c>
      <c r="DK76" s="433" t="e">
        <f>(Tabla24105[[#This Row],[Columna4]]*DK$56/$CT$56)*$DB$55</f>
        <v>#DIV/0!</v>
      </c>
      <c r="DL76" s="433" t="e">
        <f>(Tabla24105[[#This Row],[Columna4]]*DL$56/$CT$56)*$DB$55</f>
        <v>#DIV/0!</v>
      </c>
      <c r="DM76" s="433" t="e">
        <f>(Tabla24105[[#This Row],[Columna4]]*DM$56/$CT$56)*$DB$55</f>
        <v>#DIV/0!</v>
      </c>
      <c r="DN76" s="433" t="e">
        <f>(Tabla24105[[#This Row],[Columna4]]*DN$56/$CT$56)*$DB$55</f>
        <v>#DIV/0!</v>
      </c>
      <c r="DP76" s="531" t="s">
        <v>321</v>
      </c>
      <c r="DQ76" s="531" t="e">
        <f>SUM(DR76:DR84)</f>
        <v>#DIV/0!</v>
      </c>
      <c r="DR76" s="396" t="e">
        <f>$AS$73</f>
        <v>#DIV/0!</v>
      </c>
      <c r="DS76" s="242" t="str">
        <f>Tabla24[[#This Row],[Columna1]]</f>
        <v>C18</v>
      </c>
      <c r="DT76" s="433" t="e">
        <f>Tabla241057[[#This Row],[Columna3]]/7</f>
        <v>#DIV/0!</v>
      </c>
      <c r="DU76" s="433" t="e">
        <f>Tabla241057[[#This Row],[Columna4]]/4.2</f>
        <v>#DIV/0!</v>
      </c>
      <c r="DV76" s="433" t="e">
        <f>Tabla24105[[#This Row],[Columna16]]</f>
        <v>#DIV/0!</v>
      </c>
      <c r="DW76" s="433" t="e">
        <f>(Tabla241057[[#This Row],[Columna4]]*DW$56/$DN$56)*$DV$55</f>
        <v>#DIV/0!</v>
      </c>
      <c r="DX76" s="433" t="e">
        <f>(Tabla241057[[#This Row],[Columna4]]*DX$56/$DN$56)*$DV$55</f>
        <v>#DIV/0!</v>
      </c>
      <c r="DY76" s="433" t="e">
        <f>(Tabla241057[[#This Row],[Columna4]]*DY$56/$DN$56)*$DV$55</f>
        <v>#DIV/0!</v>
      </c>
      <c r="DZ76" s="433" t="e">
        <f>(Tabla241057[[#This Row],[Columna4]]*DZ$56/$DN$56)*$DV$55</f>
        <v>#DIV/0!</v>
      </c>
      <c r="EA76" s="433" t="e">
        <f>(Tabla241057[[#This Row],[Columna4]]*EA$56/$DN$56)*$DV$55</f>
        <v>#DIV/0!</v>
      </c>
      <c r="EB76" s="433" t="e">
        <f>(Tabla241057[[#This Row],[Columna4]]*EB$56/$DN$56)*$DV$55</f>
        <v>#DIV/0!</v>
      </c>
      <c r="EC76" s="433" t="e">
        <f>(Tabla241057[[#This Row],[Columna4]]*EC$56/$DN$56)*$DV$55</f>
        <v>#DIV/0!</v>
      </c>
      <c r="ED76" s="433" t="e">
        <f>(Tabla241057[[#This Row],[Columna4]]*ED$56/$DN$56)*$DV$55</f>
        <v>#DIV/0!</v>
      </c>
      <c r="EE76" s="433" t="e">
        <f>(Tabla241057[[#This Row],[Columna4]]*EE$56/$DN$56)*$DV$55</f>
        <v>#DIV/0!</v>
      </c>
      <c r="EF76" s="433" t="e">
        <f>(Tabla241057[[#This Row],[Columna4]]*EF$56/$DN$56)*$DV$55</f>
        <v>#DIV/0!</v>
      </c>
      <c r="EG76" s="433" t="e">
        <f>(Tabla241057[[#This Row],[Columna4]]*EG$56/$DN$56)*$DV$55</f>
        <v>#DIV/0!</v>
      </c>
      <c r="EH76" s="433" t="e">
        <f>(Tabla241057[[#This Row],[Columna4]]*EH$56/$DN$56)*$DV$55</f>
        <v>#DIV/0!</v>
      </c>
      <c r="EJ76" s="531" t="s">
        <v>321</v>
      </c>
      <c r="EK76" s="531" t="e">
        <f>SUM(EL76:EL84)</f>
        <v>#DIV/0!</v>
      </c>
      <c r="EL76" s="396" t="e">
        <f>$AS$73</f>
        <v>#DIV/0!</v>
      </c>
      <c r="EM76" s="242" t="str">
        <f>Tabla24[[#This Row],[Columna1]]</f>
        <v>C18</v>
      </c>
      <c r="EN76" s="433" t="e">
        <f>Tabla24105711[[#This Row],[Columna3]]/7</f>
        <v>#DIV/0!</v>
      </c>
      <c r="EO76" s="433" t="e">
        <f>Tabla24105711[[#This Row],[Columna4]]/4.2</f>
        <v>#DIV/0!</v>
      </c>
      <c r="EP76" s="433" t="e">
        <f>Tabla241057[[#This Row],[Columna16]]</f>
        <v>#DIV/0!</v>
      </c>
      <c r="EQ76" s="433" t="e">
        <f>(Tabla24105711[[#This Row],[Columna4]]*EQ$56/$EH$56)*$EP$55</f>
        <v>#DIV/0!</v>
      </c>
      <c r="ER76" s="433" t="e">
        <f>(Tabla24105711[[#This Row],[Columna4]]*ER$56/$EH$56)*$EP$55</f>
        <v>#DIV/0!</v>
      </c>
      <c r="ES76" s="433" t="e">
        <f>(Tabla24105711[[#This Row],[Columna4]]*ES$56/$EH$56)*$EP$55</f>
        <v>#DIV/0!</v>
      </c>
      <c r="ET76" s="433" t="e">
        <f>(Tabla24105711[[#This Row],[Columna4]]*ET$56/$EH$56)*$EP$55</f>
        <v>#DIV/0!</v>
      </c>
      <c r="EU76" s="433" t="e">
        <f>(Tabla24105711[[#This Row],[Columna4]]*EU$56/$EH$56)*$EP$55</f>
        <v>#DIV/0!</v>
      </c>
      <c r="EV76" s="433" t="e">
        <f>(Tabla24105711[[#This Row],[Columna4]]*EV$56/$EH$56)*$EP$55</f>
        <v>#DIV/0!</v>
      </c>
      <c r="EW76" s="433" t="e">
        <f>(Tabla24105711[[#This Row],[Columna4]]*EW$56/$EH$56)*$EP$55</f>
        <v>#DIV/0!</v>
      </c>
      <c r="EX76" s="433" t="e">
        <f>(Tabla24105711[[#This Row],[Columna4]]*EX$56/$EH$56)*$EP$55</f>
        <v>#DIV/0!</v>
      </c>
      <c r="EY76" s="433" t="e">
        <f>(Tabla24105711[[#This Row],[Columna4]]*EY$56/$EH$56)*$EP$55</f>
        <v>#DIV/0!</v>
      </c>
      <c r="EZ76" s="433" t="e">
        <f>(Tabla24105711[[#This Row],[Columna4]]*EZ$56/$EH$56)*$EP$55</f>
        <v>#DIV/0!</v>
      </c>
      <c r="FA76" s="433" t="e">
        <f>(Tabla24105711[[#This Row],[Columna4]]*FA$56/$EH$56)*$EP$55</f>
        <v>#DIV/0!</v>
      </c>
      <c r="FB76" s="433" t="e">
        <f>(Tabla24105711[[#This Row],[Columna4]]*FB$56/$EH$56)*$EP$55</f>
        <v>#DIV/0!</v>
      </c>
      <c r="FD76" s="397" t="s">
        <v>108</v>
      </c>
      <c r="FE76" s="399" t="s">
        <v>105</v>
      </c>
      <c r="FF76" s="400">
        <f t="shared" si="293"/>
        <v>0</v>
      </c>
      <c r="FG76" s="400">
        <f t="shared" si="293"/>
        <v>0</v>
      </c>
      <c r="FH76" s="400">
        <f t="shared" si="293"/>
        <v>0</v>
      </c>
      <c r="FI76" s="400">
        <f t="shared" si="293"/>
        <v>0</v>
      </c>
      <c r="FJ76" s="400">
        <f t="shared" si="293"/>
        <v>0</v>
      </c>
      <c r="FK76" s="400">
        <f t="shared" si="293"/>
        <v>0</v>
      </c>
      <c r="FL76" s="400">
        <f t="shared" si="293"/>
        <v>0</v>
      </c>
      <c r="FM76" s="400">
        <f t="shared" si="293"/>
        <v>0</v>
      </c>
      <c r="FN76" s="400">
        <f t="shared" si="293"/>
        <v>0</v>
      </c>
      <c r="FO76" s="400">
        <f t="shared" si="293"/>
        <v>0</v>
      </c>
      <c r="FP76" s="400">
        <f t="shared" si="293"/>
        <v>0</v>
      </c>
      <c r="FQ76" s="400">
        <f t="shared" si="293"/>
        <v>0</v>
      </c>
      <c r="FR76" s="363">
        <f t="shared" si="197"/>
        <v>0</v>
      </c>
      <c r="FS76" s="260" t="e">
        <f t="shared" si="198"/>
        <v>#DIV/0!</v>
      </c>
      <c r="FV76" s="361"/>
      <c r="FW76" s="362"/>
      <c r="FX76" s="362"/>
      <c r="FY76" s="362"/>
      <c r="FZ76" s="362"/>
      <c r="GA76" s="362"/>
      <c r="GB76" s="362"/>
      <c r="GC76" s="362"/>
      <c r="GD76" s="362"/>
      <c r="GE76" s="362"/>
      <c r="GF76" s="362"/>
      <c r="GG76" s="362"/>
      <c r="GH76" s="362"/>
      <c r="GI76" s="362"/>
      <c r="GJ76" s="365"/>
      <c r="HD76" s="65" t="s">
        <v>661</v>
      </c>
      <c r="HE76" s="66">
        <v>0</v>
      </c>
      <c r="HF76" s="67">
        <f t="shared" si="299"/>
        <v>0</v>
      </c>
      <c r="HG76" s="68">
        <f t="shared" si="300"/>
        <v>0</v>
      </c>
      <c r="HH76" s="69">
        <v>1</v>
      </c>
      <c r="HI76" s="367">
        <v>0</v>
      </c>
      <c r="HJ76" s="143"/>
      <c r="HM76" s="283" t="str">
        <f>HM43</f>
        <v>Resultado Neto</v>
      </c>
      <c r="HN76" s="316" t="e">
        <f>HN74-HN75</f>
        <v>#DIV/0!</v>
      </c>
      <c r="HO76" s="316"/>
      <c r="HP76" s="316" t="e">
        <f>HP74-HP75</f>
        <v>#DIV/0!</v>
      </c>
      <c r="HQ76" s="316"/>
      <c r="HR76" s="316" t="e">
        <f>HR74-HR75</f>
        <v>#DIV/0!</v>
      </c>
      <c r="HS76" s="316"/>
      <c r="HT76" s="316" t="e">
        <f>HT74-HT75</f>
        <v>#DIV/0!</v>
      </c>
      <c r="HU76" s="286"/>
      <c r="HV76" s="283"/>
      <c r="HW76" s="286"/>
      <c r="HX76" s="283"/>
      <c r="HY76" s="286"/>
      <c r="HZ76" s="283"/>
      <c r="IA76" s="286"/>
      <c r="IB76" s="283"/>
      <c r="IC76" s="286"/>
      <c r="ID76" s="283"/>
      <c r="IE76" s="286"/>
      <c r="IF76" s="283"/>
      <c r="IG76" s="286"/>
      <c r="IH76" s="283"/>
      <c r="II76" s="286"/>
      <c r="IJ76" s="283"/>
      <c r="IK76" s="286"/>
      <c r="IL76" s="283"/>
      <c r="IM76" s="288"/>
    </row>
    <row r="77" spans="39:247" ht="14.4" customHeight="1" x14ac:dyDescent="0.3">
      <c r="AM77" s="394">
        <f t="shared" si="270"/>
        <v>0</v>
      </c>
      <c r="AN77" s="394">
        <f t="shared" si="271"/>
        <v>0</v>
      </c>
      <c r="AO77" s="394">
        <f t="shared" si="272"/>
        <v>0</v>
      </c>
      <c r="AP77" s="394">
        <f t="shared" si="273"/>
        <v>0</v>
      </c>
      <c r="AQ77" s="395" t="s">
        <v>803</v>
      </c>
      <c r="AR77" s="297">
        <f t="shared" si="274"/>
        <v>0</v>
      </c>
      <c r="AS77" s="396" t="e">
        <f t="shared" si="267"/>
        <v>#DIV/0!</v>
      </c>
      <c r="AT77" s="531"/>
      <c r="AU77" s="531"/>
      <c r="AV77" s="299">
        <v>0</v>
      </c>
      <c r="AW77" s="300">
        <v>0</v>
      </c>
      <c r="AX77" s="301"/>
      <c r="BH77" s="531"/>
      <c r="BI77" s="531"/>
      <c r="BJ77" s="396" t="e">
        <f>$AS$74</f>
        <v>#DIV/0!</v>
      </c>
      <c r="BK77" s="242" t="str">
        <f t="shared" si="277"/>
        <v>C19</v>
      </c>
      <c r="BL77" s="433">
        <f>Tabla24[[#This Row],[Columna3]]/7</f>
        <v>0</v>
      </c>
      <c r="BM77" s="433">
        <f>Tabla24[[#This Row],[Columna4]]/4.2</f>
        <v>0</v>
      </c>
      <c r="BN77" s="433">
        <f t="shared" si="278"/>
        <v>0</v>
      </c>
      <c r="BO77" s="433">
        <f t="shared" si="279"/>
        <v>0</v>
      </c>
      <c r="BP77" s="433">
        <f t="shared" si="280"/>
        <v>0</v>
      </c>
      <c r="BQ77" s="433">
        <f t="shared" si="281"/>
        <v>0</v>
      </c>
      <c r="BR77" s="433">
        <f t="shared" si="282"/>
        <v>0</v>
      </c>
      <c r="BS77" s="433">
        <f t="shared" si="283"/>
        <v>0</v>
      </c>
      <c r="BT77" s="433">
        <f t="shared" si="284"/>
        <v>0</v>
      </c>
      <c r="BU77" s="433">
        <f t="shared" si="285"/>
        <v>0</v>
      </c>
      <c r="BV77" s="433">
        <f t="shared" si="286"/>
        <v>0</v>
      </c>
      <c r="BW77" s="433">
        <f t="shared" si="287"/>
        <v>0</v>
      </c>
      <c r="BX77" s="433">
        <f t="shared" si="288"/>
        <v>0</v>
      </c>
      <c r="BY77" s="433">
        <f t="shared" si="289"/>
        <v>0</v>
      </c>
      <c r="BZ77" s="433">
        <f t="shared" si="290"/>
        <v>0</v>
      </c>
      <c r="CB77" s="531"/>
      <c r="CC77" s="531"/>
      <c r="CD77" s="396" t="e">
        <f>$AS$74</f>
        <v>#DIV/0!</v>
      </c>
      <c r="CE77" s="242" t="str">
        <f>Tabla24[[#This Row],[Columna1]]</f>
        <v>C19</v>
      </c>
      <c r="CF77" s="433">
        <f>Tabla2410[[#This Row],[Columna3]]/7</f>
        <v>0</v>
      </c>
      <c r="CG77" s="433">
        <f>Tabla2410[[#This Row],[Columna4]]/4.2</f>
        <v>0</v>
      </c>
      <c r="CH77" s="433">
        <f>Tabla24[[#This Row],[Columna16]]</f>
        <v>0</v>
      </c>
      <c r="CI77" s="433" t="e">
        <f>(Tabla2410[[#This Row],[Columna4]]*CI$56/$BZ$56)*$CH$55</f>
        <v>#DIV/0!</v>
      </c>
      <c r="CJ77" s="433" t="e">
        <f>(Tabla2410[[#This Row],[Columna4]]*CJ$56/$BZ$56)*$CH$55</f>
        <v>#DIV/0!</v>
      </c>
      <c r="CK77" s="433" t="e">
        <f>(Tabla2410[[#This Row],[Columna4]]*CK$56/$BZ$56)*$CH$55</f>
        <v>#DIV/0!</v>
      </c>
      <c r="CL77" s="433" t="e">
        <f>(Tabla2410[[#This Row],[Columna4]]*CL$56/$BZ$56)*$CH$55</f>
        <v>#DIV/0!</v>
      </c>
      <c r="CM77" s="433" t="e">
        <f>(Tabla2410[[#This Row],[Columna4]]*CM$56/$BZ$56)*$CH$55</f>
        <v>#DIV/0!</v>
      </c>
      <c r="CN77" s="433" t="e">
        <f>(Tabla2410[[#This Row],[Columna4]]*CN$56/$BZ$56)*$CH$55</f>
        <v>#DIV/0!</v>
      </c>
      <c r="CO77" s="433" t="e">
        <f>(Tabla2410[[#This Row],[Columna4]]*CO$56/$BZ$56)*$CH$55</f>
        <v>#DIV/0!</v>
      </c>
      <c r="CP77" s="433" t="e">
        <f>(Tabla2410[[#This Row],[Columna4]]*CP$56/$BZ$56)*$CH$55</f>
        <v>#DIV/0!</v>
      </c>
      <c r="CQ77" s="433" t="e">
        <f>(Tabla2410[[#This Row],[Columna4]]*CQ$56/$BZ$56)*$CH$55</f>
        <v>#DIV/0!</v>
      </c>
      <c r="CR77" s="433" t="e">
        <f>(Tabla2410[[#This Row],[Columna4]]*CR$56/$BZ$56)*$CH$55</f>
        <v>#DIV/0!</v>
      </c>
      <c r="CS77" s="433" t="e">
        <f>(Tabla2410[[#This Row],[Columna4]]*CS$56/$BZ$56)*$CH$55</f>
        <v>#DIV/0!</v>
      </c>
      <c r="CT77" s="433" t="e">
        <f>(Tabla2410[[#This Row],[Columna4]]*CT$56/$BZ$56)*$CH$55</f>
        <v>#DIV/0!</v>
      </c>
      <c r="CV77" s="531"/>
      <c r="CW77" s="531"/>
      <c r="CX77" s="396" t="e">
        <f>$AS$74</f>
        <v>#DIV/0!</v>
      </c>
      <c r="CY77" s="242" t="str">
        <f>Tabla24[[#This Row],[Columna1]]</f>
        <v>C19</v>
      </c>
      <c r="CZ77" s="433" t="e">
        <f>Tabla24105[[#This Row],[Columna3]]/7</f>
        <v>#DIV/0!</v>
      </c>
      <c r="DA77" s="433" t="e">
        <f>Tabla24105[[#This Row],[Columna4]]/4.2</f>
        <v>#DIV/0!</v>
      </c>
      <c r="DB77" s="433" t="e">
        <f>Tabla2410[[#This Row],[Columna16]]</f>
        <v>#DIV/0!</v>
      </c>
      <c r="DC77" s="433" t="e">
        <f>(Tabla24105[[#This Row],[Columna4]]*DC$56/$CT$56)*$DB$55</f>
        <v>#DIV/0!</v>
      </c>
      <c r="DD77" s="433" t="e">
        <f>(Tabla24105[[#This Row],[Columna4]]*DD$56/$CT$56)*$DB$55</f>
        <v>#DIV/0!</v>
      </c>
      <c r="DE77" s="433" t="e">
        <f>(Tabla24105[[#This Row],[Columna4]]*DE$56/$CT$56)*$DB$55</f>
        <v>#DIV/0!</v>
      </c>
      <c r="DF77" s="433" t="e">
        <f>(Tabla24105[[#This Row],[Columna4]]*DF$56/$CT$56)*$DB$55</f>
        <v>#DIV/0!</v>
      </c>
      <c r="DG77" s="433" t="e">
        <f>(Tabla24105[[#This Row],[Columna4]]*DG$56/$CT$56)*$DB$55</f>
        <v>#DIV/0!</v>
      </c>
      <c r="DH77" s="433" t="e">
        <f>(Tabla24105[[#This Row],[Columna4]]*DH$56/$CT$56)*$DB$55</f>
        <v>#DIV/0!</v>
      </c>
      <c r="DI77" s="433" t="e">
        <f>(Tabla24105[[#This Row],[Columna4]]*DI$56/$CT$56)*$DB$55</f>
        <v>#DIV/0!</v>
      </c>
      <c r="DJ77" s="433" t="e">
        <f>(Tabla24105[[#This Row],[Columna4]]*DJ$56/$CT$56)*$DB$55</f>
        <v>#DIV/0!</v>
      </c>
      <c r="DK77" s="433" t="e">
        <f>(Tabla24105[[#This Row],[Columna4]]*DK$56/$CT$56)*$DB$55</f>
        <v>#DIV/0!</v>
      </c>
      <c r="DL77" s="433" t="e">
        <f>(Tabla24105[[#This Row],[Columna4]]*DL$56/$CT$56)*$DB$55</f>
        <v>#DIV/0!</v>
      </c>
      <c r="DM77" s="433" t="e">
        <f>(Tabla24105[[#This Row],[Columna4]]*DM$56/$CT$56)*$DB$55</f>
        <v>#DIV/0!</v>
      </c>
      <c r="DN77" s="433" t="e">
        <f>(Tabla24105[[#This Row],[Columna4]]*DN$56/$CT$56)*$DB$55</f>
        <v>#DIV/0!</v>
      </c>
      <c r="DP77" s="531"/>
      <c r="DQ77" s="531"/>
      <c r="DR77" s="396" t="e">
        <f>$AS$74</f>
        <v>#DIV/0!</v>
      </c>
      <c r="DS77" s="242" t="str">
        <f>Tabla24[[#This Row],[Columna1]]</f>
        <v>C19</v>
      </c>
      <c r="DT77" s="433" t="e">
        <f>Tabla241057[[#This Row],[Columna3]]/7</f>
        <v>#DIV/0!</v>
      </c>
      <c r="DU77" s="433" t="e">
        <f>Tabla241057[[#This Row],[Columna4]]/4.2</f>
        <v>#DIV/0!</v>
      </c>
      <c r="DV77" s="433" t="e">
        <f>Tabla24105[[#This Row],[Columna16]]</f>
        <v>#DIV/0!</v>
      </c>
      <c r="DW77" s="433" t="e">
        <f>(Tabla241057[[#This Row],[Columna4]]*DW$56/$DN$56)*$DV$55</f>
        <v>#DIV/0!</v>
      </c>
      <c r="DX77" s="433" t="e">
        <f>(Tabla241057[[#This Row],[Columna4]]*DX$56/$DN$56)*$DV$55</f>
        <v>#DIV/0!</v>
      </c>
      <c r="DY77" s="433" t="e">
        <f>(Tabla241057[[#This Row],[Columna4]]*DY$56/$DN$56)*$DV$55</f>
        <v>#DIV/0!</v>
      </c>
      <c r="DZ77" s="433" t="e">
        <f>(Tabla241057[[#This Row],[Columna4]]*DZ$56/$DN$56)*$DV$55</f>
        <v>#DIV/0!</v>
      </c>
      <c r="EA77" s="433" t="e">
        <f>(Tabla241057[[#This Row],[Columna4]]*EA$56/$DN$56)*$DV$55</f>
        <v>#DIV/0!</v>
      </c>
      <c r="EB77" s="433" t="e">
        <f>(Tabla241057[[#This Row],[Columna4]]*EB$56/$DN$56)*$DV$55</f>
        <v>#DIV/0!</v>
      </c>
      <c r="EC77" s="433" t="e">
        <f>(Tabla241057[[#This Row],[Columna4]]*EC$56/$DN$56)*$DV$55</f>
        <v>#DIV/0!</v>
      </c>
      <c r="ED77" s="433" t="e">
        <f>(Tabla241057[[#This Row],[Columna4]]*ED$56/$DN$56)*$DV$55</f>
        <v>#DIV/0!</v>
      </c>
      <c r="EE77" s="433" t="e">
        <f>(Tabla241057[[#This Row],[Columna4]]*EE$56/$DN$56)*$DV$55</f>
        <v>#DIV/0!</v>
      </c>
      <c r="EF77" s="433" t="e">
        <f>(Tabla241057[[#This Row],[Columna4]]*EF$56/$DN$56)*$DV$55</f>
        <v>#DIV/0!</v>
      </c>
      <c r="EG77" s="433" t="e">
        <f>(Tabla241057[[#This Row],[Columna4]]*EG$56/$DN$56)*$DV$55</f>
        <v>#DIV/0!</v>
      </c>
      <c r="EH77" s="433" t="e">
        <f>(Tabla241057[[#This Row],[Columna4]]*EH$56/$DN$56)*$DV$55</f>
        <v>#DIV/0!</v>
      </c>
      <c r="EJ77" s="531"/>
      <c r="EK77" s="531"/>
      <c r="EL77" s="396" t="e">
        <f>$AS$74</f>
        <v>#DIV/0!</v>
      </c>
      <c r="EM77" s="242" t="str">
        <f>Tabla24[[#This Row],[Columna1]]</f>
        <v>C19</v>
      </c>
      <c r="EN77" s="433" t="e">
        <f>Tabla24105711[[#This Row],[Columna3]]/7</f>
        <v>#DIV/0!</v>
      </c>
      <c r="EO77" s="433" t="e">
        <f>Tabla24105711[[#This Row],[Columna4]]/4.2</f>
        <v>#DIV/0!</v>
      </c>
      <c r="EP77" s="433" t="e">
        <f>Tabla241057[[#This Row],[Columna16]]</f>
        <v>#DIV/0!</v>
      </c>
      <c r="EQ77" s="433" t="e">
        <f>(Tabla24105711[[#This Row],[Columna4]]*EQ$56/$EH$56)*$EP$55</f>
        <v>#DIV/0!</v>
      </c>
      <c r="ER77" s="433" t="e">
        <f>(Tabla24105711[[#This Row],[Columna4]]*ER$56/$EH$56)*$EP$55</f>
        <v>#DIV/0!</v>
      </c>
      <c r="ES77" s="433" t="e">
        <f>(Tabla24105711[[#This Row],[Columna4]]*ES$56/$EH$56)*$EP$55</f>
        <v>#DIV/0!</v>
      </c>
      <c r="ET77" s="433" t="e">
        <f>(Tabla24105711[[#This Row],[Columna4]]*ET$56/$EH$56)*$EP$55</f>
        <v>#DIV/0!</v>
      </c>
      <c r="EU77" s="433" t="e">
        <f>(Tabla24105711[[#This Row],[Columna4]]*EU$56/$EH$56)*$EP$55</f>
        <v>#DIV/0!</v>
      </c>
      <c r="EV77" s="433" t="e">
        <f>(Tabla24105711[[#This Row],[Columna4]]*EV$56/$EH$56)*$EP$55</f>
        <v>#DIV/0!</v>
      </c>
      <c r="EW77" s="433" t="e">
        <f>(Tabla24105711[[#This Row],[Columna4]]*EW$56/$EH$56)*$EP$55</f>
        <v>#DIV/0!</v>
      </c>
      <c r="EX77" s="433" t="e">
        <f>(Tabla24105711[[#This Row],[Columna4]]*EX$56/$EH$56)*$EP$55</f>
        <v>#DIV/0!</v>
      </c>
      <c r="EY77" s="433" t="e">
        <f>(Tabla24105711[[#This Row],[Columna4]]*EY$56/$EH$56)*$EP$55</f>
        <v>#DIV/0!</v>
      </c>
      <c r="EZ77" s="433" t="e">
        <f>(Tabla24105711[[#This Row],[Columna4]]*EZ$56/$EH$56)*$EP$55</f>
        <v>#DIV/0!</v>
      </c>
      <c r="FA77" s="433" t="e">
        <f>(Tabla24105711[[#This Row],[Columna4]]*FA$56/$EH$56)*$EP$55</f>
        <v>#DIV/0!</v>
      </c>
      <c r="FB77" s="433" t="e">
        <f>(Tabla24105711[[#This Row],[Columna4]]*FB$56/$EH$56)*$EP$55</f>
        <v>#DIV/0!</v>
      </c>
      <c r="FD77" s="397" t="s">
        <v>109</v>
      </c>
      <c r="FE77" s="399" t="s">
        <v>107</v>
      </c>
      <c r="FF77" s="400">
        <f t="shared" si="293"/>
        <v>0</v>
      </c>
      <c r="FG77" s="400">
        <f t="shared" si="293"/>
        <v>0</v>
      </c>
      <c r="FH77" s="400">
        <f t="shared" si="293"/>
        <v>0</v>
      </c>
      <c r="FI77" s="400">
        <f t="shared" si="293"/>
        <v>0</v>
      </c>
      <c r="FJ77" s="400">
        <f t="shared" si="293"/>
        <v>0</v>
      </c>
      <c r="FK77" s="400">
        <f t="shared" si="293"/>
        <v>0</v>
      </c>
      <c r="FL77" s="400">
        <f t="shared" si="293"/>
        <v>0</v>
      </c>
      <c r="FM77" s="400">
        <f t="shared" si="293"/>
        <v>0</v>
      </c>
      <c r="FN77" s="400">
        <f t="shared" si="293"/>
        <v>0</v>
      </c>
      <c r="FO77" s="400">
        <f t="shared" si="293"/>
        <v>0</v>
      </c>
      <c r="FP77" s="400">
        <f t="shared" si="293"/>
        <v>0</v>
      </c>
      <c r="FQ77" s="400">
        <f t="shared" si="293"/>
        <v>0</v>
      </c>
      <c r="FR77" s="363">
        <f t="shared" si="197"/>
        <v>0</v>
      </c>
      <c r="FS77" s="260" t="e">
        <f t="shared" si="198"/>
        <v>#DIV/0!</v>
      </c>
      <c r="FV77" s="357" t="s">
        <v>249</v>
      </c>
      <c r="FW77" s="366" t="e">
        <f>FW70*GD63</f>
        <v>#DIV/0!</v>
      </c>
      <c r="FX77" s="366" t="e">
        <f>FX70*GD63</f>
        <v>#DIV/0!</v>
      </c>
      <c r="FY77" s="366" t="e">
        <f>FY70*GD63</f>
        <v>#DIV/0!</v>
      </c>
      <c r="FZ77" s="366" t="e">
        <f>FZ70*GD63</f>
        <v>#DIV/0!</v>
      </c>
      <c r="GA77" s="366" t="e">
        <f>GA70*GD63</f>
        <v>#DIV/0!</v>
      </c>
      <c r="GB77" s="366" t="e">
        <f>GB70*GD63</f>
        <v>#DIV/0!</v>
      </c>
      <c r="GC77" s="366" t="e">
        <f>GC70*GD63</f>
        <v>#DIV/0!</v>
      </c>
      <c r="GD77" s="366" t="e">
        <f>GD70*GD63</f>
        <v>#DIV/0!</v>
      </c>
      <c r="GE77" s="366" t="e">
        <f>GE70*GD63</f>
        <v>#DIV/0!</v>
      </c>
      <c r="GF77" s="366" t="e">
        <f>GF70*GD63</f>
        <v>#DIV/0!</v>
      </c>
      <c r="GG77" s="366" t="e">
        <f>GG70*GD63</f>
        <v>#DIV/0!</v>
      </c>
      <c r="GH77" s="366" t="e">
        <f>GH70*GD63</f>
        <v>#DIV/0!</v>
      </c>
      <c r="GI77" s="309" t="e">
        <f t="shared" ref="GI77" si="303">SUM(FW77:GH77)</f>
        <v>#DIV/0!</v>
      </c>
      <c r="GJ77" s="262" t="e">
        <f>GI77/$GI$6</f>
        <v>#DIV/0!</v>
      </c>
      <c r="GK77" s="550"/>
      <c r="HD77" s="65" t="s">
        <v>549</v>
      </c>
      <c r="HE77" s="66">
        <v>0</v>
      </c>
      <c r="HF77" s="67">
        <f t="shared" si="299"/>
        <v>0</v>
      </c>
      <c r="HG77" s="68">
        <f t="shared" si="300"/>
        <v>0</v>
      </c>
      <c r="HH77" s="69">
        <v>1</v>
      </c>
      <c r="HI77" s="367">
        <v>0</v>
      </c>
      <c r="HJ77" s="143"/>
      <c r="HM77" s="283"/>
      <c r="HN77" s="283"/>
      <c r="HO77" s="285"/>
      <c r="HP77" s="283"/>
      <c r="HQ77" s="286"/>
      <c r="HR77" s="283"/>
      <c r="HS77" s="286"/>
      <c r="HT77" s="283"/>
      <c r="HU77" s="286"/>
      <c r="HV77" s="283"/>
      <c r="HW77" s="286"/>
      <c r="HX77" s="283"/>
      <c r="HY77" s="286"/>
      <c r="HZ77" s="283"/>
      <c r="IA77" s="286"/>
      <c r="IB77" s="283"/>
      <c r="IC77" s="286"/>
      <c r="ID77" s="283"/>
      <c r="IE77" s="286"/>
      <c r="IF77" s="283"/>
      <c r="IG77" s="286"/>
      <c r="IH77" s="283"/>
      <c r="II77" s="286"/>
      <c r="IJ77" s="283"/>
      <c r="IK77" s="286"/>
      <c r="IL77" s="283"/>
      <c r="IM77" s="288"/>
    </row>
    <row r="78" spans="39:247" ht="14.4" customHeight="1" x14ac:dyDescent="0.3">
      <c r="AM78" s="394">
        <f t="shared" si="270"/>
        <v>0</v>
      </c>
      <c r="AN78" s="394">
        <f t="shared" si="271"/>
        <v>0</v>
      </c>
      <c r="AO78" s="394">
        <f t="shared" si="272"/>
        <v>0</v>
      </c>
      <c r="AP78" s="394">
        <f t="shared" si="273"/>
        <v>0</v>
      </c>
      <c r="AQ78" s="395" t="s">
        <v>805</v>
      </c>
      <c r="AR78" s="297">
        <f t="shared" si="274"/>
        <v>0</v>
      </c>
      <c r="AS78" s="396" t="e">
        <f t="shared" si="267"/>
        <v>#DIV/0!</v>
      </c>
      <c r="AT78" s="531"/>
      <c r="AU78" s="531"/>
      <c r="AV78" s="299">
        <v>0</v>
      </c>
      <c r="AW78" s="300">
        <v>0</v>
      </c>
      <c r="AX78" s="301"/>
      <c r="BH78" s="531"/>
      <c r="BI78" s="531"/>
      <c r="BJ78" s="396" t="e">
        <f>$AS$75</f>
        <v>#DIV/0!</v>
      </c>
      <c r="BK78" s="242" t="str">
        <f t="shared" si="277"/>
        <v>C20</v>
      </c>
      <c r="BL78" s="433">
        <f>Tabla24[[#This Row],[Columna3]]/7</f>
        <v>0</v>
      </c>
      <c r="BM78" s="433">
        <f>Tabla24[[#This Row],[Columna4]]/4.2</f>
        <v>0</v>
      </c>
      <c r="BN78" s="433">
        <f t="shared" si="278"/>
        <v>0</v>
      </c>
      <c r="BO78" s="433">
        <f t="shared" si="279"/>
        <v>0</v>
      </c>
      <c r="BP78" s="433">
        <f t="shared" si="280"/>
        <v>0</v>
      </c>
      <c r="BQ78" s="433">
        <f t="shared" si="281"/>
        <v>0</v>
      </c>
      <c r="BR78" s="433">
        <f t="shared" si="282"/>
        <v>0</v>
      </c>
      <c r="BS78" s="433">
        <f t="shared" si="283"/>
        <v>0</v>
      </c>
      <c r="BT78" s="433">
        <f t="shared" si="284"/>
        <v>0</v>
      </c>
      <c r="BU78" s="433">
        <f t="shared" si="285"/>
        <v>0</v>
      </c>
      <c r="BV78" s="433">
        <f t="shared" si="286"/>
        <v>0</v>
      </c>
      <c r="BW78" s="433">
        <f t="shared" si="287"/>
        <v>0</v>
      </c>
      <c r="BX78" s="433">
        <f t="shared" si="288"/>
        <v>0</v>
      </c>
      <c r="BY78" s="433">
        <f t="shared" si="289"/>
        <v>0</v>
      </c>
      <c r="BZ78" s="433">
        <f t="shared" si="290"/>
        <v>0</v>
      </c>
      <c r="CB78" s="531"/>
      <c r="CC78" s="531"/>
      <c r="CD78" s="396" t="e">
        <f>$AS$75</f>
        <v>#DIV/0!</v>
      </c>
      <c r="CE78" s="242" t="str">
        <f>Tabla24[[#This Row],[Columna1]]</f>
        <v>C20</v>
      </c>
      <c r="CF78" s="433">
        <f>Tabla2410[[#This Row],[Columna3]]/7</f>
        <v>0</v>
      </c>
      <c r="CG78" s="433">
        <f>Tabla2410[[#This Row],[Columna4]]/4.2</f>
        <v>0</v>
      </c>
      <c r="CH78" s="433">
        <f>Tabla24[[#This Row],[Columna16]]</f>
        <v>0</v>
      </c>
      <c r="CI78" s="433" t="e">
        <f>(Tabla2410[[#This Row],[Columna4]]*CI$56/$BZ$56)*$CH$55</f>
        <v>#DIV/0!</v>
      </c>
      <c r="CJ78" s="433" t="e">
        <f>(Tabla2410[[#This Row],[Columna4]]*CJ$56/$BZ$56)*$CH$55</f>
        <v>#DIV/0!</v>
      </c>
      <c r="CK78" s="433" t="e">
        <f>(Tabla2410[[#This Row],[Columna4]]*CK$56/$BZ$56)*$CH$55</f>
        <v>#DIV/0!</v>
      </c>
      <c r="CL78" s="433" t="e">
        <f>(Tabla2410[[#This Row],[Columna4]]*CL$56/$BZ$56)*$CH$55</f>
        <v>#DIV/0!</v>
      </c>
      <c r="CM78" s="433" t="e">
        <f>(Tabla2410[[#This Row],[Columna4]]*CM$56/$BZ$56)*$CH$55</f>
        <v>#DIV/0!</v>
      </c>
      <c r="CN78" s="433" t="e">
        <f>(Tabla2410[[#This Row],[Columna4]]*CN$56/$BZ$56)*$CH$55</f>
        <v>#DIV/0!</v>
      </c>
      <c r="CO78" s="433" t="e">
        <f>(Tabla2410[[#This Row],[Columna4]]*CO$56/$BZ$56)*$CH$55</f>
        <v>#DIV/0!</v>
      </c>
      <c r="CP78" s="433" t="e">
        <f>(Tabla2410[[#This Row],[Columna4]]*CP$56/$BZ$56)*$CH$55</f>
        <v>#DIV/0!</v>
      </c>
      <c r="CQ78" s="433" t="e">
        <f>(Tabla2410[[#This Row],[Columna4]]*CQ$56/$BZ$56)*$CH$55</f>
        <v>#DIV/0!</v>
      </c>
      <c r="CR78" s="433" t="e">
        <f>(Tabla2410[[#This Row],[Columna4]]*CR$56/$BZ$56)*$CH$55</f>
        <v>#DIV/0!</v>
      </c>
      <c r="CS78" s="433" t="e">
        <f>(Tabla2410[[#This Row],[Columna4]]*CS$56/$BZ$56)*$CH$55</f>
        <v>#DIV/0!</v>
      </c>
      <c r="CT78" s="433" t="e">
        <f>(Tabla2410[[#This Row],[Columna4]]*CT$56/$BZ$56)*$CH$55</f>
        <v>#DIV/0!</v>
      </c>
      <c r="CV78" s="531"/>
      <c r="CW78" s="531"/>
      <c r="CX78" s="396" t="e">
        <f>$AS$75</f>
        <v>#DIV/0!</v>
      </c>
      <c r="CY78" s="242" t="str">
        <f>Tabla24[[#This Row],[Columna1]]</f>
        <v>C20</v>
      </c>
      <c r="CZ78" s="433" t="e">
        <f>Tabla24105[[#This Row],[Columna3]]/7</f>
        <v>#DIV/0!</v>
      </c>
      <c r="DA78" s="433" t="e">
        <f>Tabla24105[[#This Row],[Columna4]]/4.2</f>
        <v>#DIV/0!</v>
      </c>
      <c r="DB78" s="433" t="e">
        <f>Tabla2410[[#This Row],[Columna16]]</f>
        <v>#DIV/0!</v>
      </c>
      <c r="DC78" s="433" t="e">
        <f>(Tabla24105[[#This Row],[Columna4]]*DC$56/$CT$56)*$DB$55</f>
        <v>#DIV/0!</v>
      </c>
      <c r="DD78" s="433" t="e">
        <f>(Tabla24105[[#This Row],[Columna4]]*DD$56/$CT$56)*$DB$55</f>
        <v>#DIV/0!</v>
      </c>
      <c r="DE78" s="433" t="e">
        <f>(Tabla24105[[#This Row],[Columna4]]*DE$56/$CT$56)*$DB$55</f>
        <v>#DIV/0!</v>
      </c>
      <c r="DF78" s="433" t="e">
        <f>(Tabla24105[[#This Row],[Columna4]]*DF$56/$CT$56)*$DB$55</f>
        <v>#DIV/0!</v>
      </c>
      <c r="DG78" s="433" t="e">
        <f>(Tabla24105[[#This Row],[Columna4]]*DG$56/$CT$56)*$DB$55</f>
        <v>#DIV/0!</v>
      </c>
      <c r="DH78" s="433" t="e">
        <f>(Tabla24105[[#This Row],[Columna4]]*DH$56/$CT$56)*$DB$55</f>
        <v>#DIV/0!</v>
      </c>
      <c r="DI78" s="433" t="e">
        <f>(Tabla24105[[#This Row],[Columna4]]*DI$56/$CT$56)*$DB$55</f>
        <v>#DIV/0!</v>
      </c>
      <c r="DJ78" s="433" t="e">
        <f>(Tabla24105[[#This Row],[Columna4]]*DJ$56/$CT$56)*$DB$55</f>
        <v>#DIV/0!</v>
      </c>
      <c r="DK78" s="433" t="e">
        <f>(Tabla24105[[#This Row],[Columna4]]*DK$56/$CT$56)*$DB$55</f>
        <v>#DIV/0!</v>
      </c>
      <c r="DL78" s="433" t="e">
        <f>(Tabla24105[[#This Row],[Columna4]]*DL$56/$CT$56)*$DB$55</f>
        <v>#DIV/0!</v>
      </c>
      <c r="DM78" s="433" t="e">
        <f>(Tabla24105[[#This Row],[Columna4]]*DM$56/$CT$56)*$DB$55</f>
        <v>#DIV/0!</v>
      </c>
      <c r="DN78" s="433" t="e">
        <f>(Tabla24105[[#This Row],[Columna4]]*DN$56/$CT$56)*$DB$55</f>
        <v>#DIV/0!</v>
      </c>
      <c r="DP78" s="531"/>
      <c r="DQ78" s="531"/>
      <c r="DR78" s="396" t="e">
        <f>$AS$75</f>
        <v>#DIV/0!</v>
      </c>
      <c r="DS78" s="242" t="str">
        <f>Tabla24[[#This Row],[Columna1]]</f>
        <v>C20</v>
      </c>
      <c r="DT78" s="433" t="e">
        <f>Tabla241057[[#This Row],[Columna3]]/7</f>
        <v>#DIV/0!</v>
      </c>
      <c r="DU78" s="433" t="e">
        <f>Tabla241057[[#This Row],[Columna4]]/4.2</f>
        <v>#DIV/0!</v>
      </c>
      <c r="DV78" s="433" t="e">
        <f>Tabla24105[[#This Row],[Columna16]]</f>
        <v>#DIV/0!</v>
      </c>
      <c r="DW78" s="433" t="e">
        <f>(Tabla241057[[#This Row],[Columna4]]*DW$56/$DN$56)*$DV$55</f>
        <v>#DIV/0!</v>
      </c>
      <c r="DX78" s="433" t="e">
        <f>(Tabla241057[[#This Row],[Columna4]]*DX$56/$DN$56)*$DV$55</f>
        <v>#DIV/0!</v>
      </c>
      <c r="DY78" s="433" t="e">
        <f>(Tabla241057[[#This Row],[Columna4]]*DY$56/$DN$56)*$DV$55</f>
        <v>#DIV/0!</v>
      </c>
      <c r="DZ78" s="433" t="e">
        <f>(Tabla241057[[#This Row],[Columna4]]*DZ$56/$DN$56)*$DV$55</f>
        <v>#DIV/0!</v>
      </c>
      <c r="EA78" s="433" t="e">
        <f>(Tabla241057[[#This Row],[Columna4]]*EA$56/$DN$56)*$DV$55</f>
        <v>#DIV/0!</v>
      </c>
      <c r="EB78" s="433" t="e">
        <f>(Tabla241057[[#This Row],[Columna4]]*EB$56/$DN$56)*$DV$55</f>
        <v>#DIV/0!</v>
      </c>
      <c r="EC78" s="433" t="e">
        <f>(Tabla241057[[#This Row],[Columna4]]*EC$56/$DN$56)*$DV$55</f>
        <v>#DIV/0!</v>
      </c>
      <c r="ED78" s="433" t="e">
        <f>(Tabla241057[[#This Row],[Columna4]]*ED$56/$DN$56)*$DV$55</f>
        <v>#DIV/0!</v>
      </c>
      <c r="EE78" s="433" t="e">
        <f>(Tabla241057[[#This Row],[Columna4]]*EE$56/$DN$56)*$DV$55</f>
        <v>#DIV/0!</v>
      </c>
      <c r="EF78" s="433" t="e">
        <f>(Tabla241057[[#This Row],[Columna4]]*EF$56/$DN$56)*$DV$55</f>
        <v>#DIV/0!</v>
      </c>
      <c r="EG78" s="433" t="e">
        <f>(Tabla241057[[#This Row],[Columna4]]*EG$56/$DN$56)*$DV$55</f>
        <v>#DIV/0!</v>
      </c>
      <c r="EH78" s="433" t="e">
        <f>(Tabla241057[[#This Row],[Columna4]]*EH$56/$DN$56)*$DV$55</f>
        <v>#DIV/0!</v>
      </c>
      <c r="EJ78" s="531"/>
      <c r="EK78" s="531"/>
      <c r="EL78" s="396" t="e">
        <f>$AS$75</f>
        <v>#DIV/0!</v>
      </c>
      <c r="EM78" s="242" t="str">
        <f>Tabla24[[#This Row],[Columna1]]</f>
        <v>C20</v>
      </c>
      <c r="EN78" s="433" t="e">
        <f>Tabla24105711[[#This Row],[Columna3]]/7</f>
        <v>#DIV/0!</v>
      </c>
      <c r="EO78" s="433" t="e">
        <f>Tabla24105711[[#This Row],[Columna4]]/4.2</f>
        <v>#DIV/0!</v>
      </c>
      <c r="EP78" s="433" t="e">
        <f>Tabla241057[[#This Row],[Columna16]]</f>
        <v>#DIV/0!</v>
      </c>
      <c r="EQ78" s="433" t="e">
        <f>(Tabla24105711[[#This Row],[Columna4]]*EQ$56/$EH$56)*$EP$55</f>
        <v>#DIV/0!</v>
      </c>
      <c r="ER78" s="433" t="e">
        <f>(Tabla24105711[[#This Row],[Columna4]]*ER$56/$EH$56)*$EP$55</f>
        <v>#DIV/0!</v>
      </c>
      <c r="ES78" s="433" t="e">
        <f>(Tabla24105711[[#This Row],[Columna4]]*ES$56/$EH$56)*$EP$55</f>
        <v>#DIV/0!</v>
      </c>
      <c r="ET78" s="433" t="e">
        <f>(Tabla24105711[[#This Row],[Columna4]]*ET$56/$EH$56)*$EP$55</f>
        <v>#DIV/0!</v>
      </c>
      <c r="EU78" s="433" t="e">
        <f>(Tabla24105711[[#This Row],[Columna4]]*EU$56/$EH$56)*$EP$55</f>
        <v>#DIV/0!</v>
      </c>
      <c r="EV78" s="433" t="e">
        <f>(Tabla24105711[[#This Row],[Columna4]]*EV$56/$EH$56)*$EP$55</f>
        <v>#DIV/0!</v>
      </c>
      <c r="EW78" s="433" t="e">
        <f>(Tabla24105711[[#This Row],[Columna4]]*EW$56/$EH$56)*$EP$55</f>
        <v>#DIV/0!</v>
      </c>
      <c r="EX78" s="433" t="e">
        <f>(Tabla24105711[[#This Row],[Columna4]]*EX$56/$EH$56)*$EP$55</f>
        <v>#DIV/0!</v>
      </c>
      <c r="EY78" s="433" t="e">
        <f>(Tabla24105711[[#This Row],[Columna4]]*EY$56/$EH$56)*$EP$55</f>
        <v>#DIV/0!</v>
      </c>
      <c r="EZ78" s="433" t="e">
        <f>(Tabla24105711[[#This Row],[Columna4]]*EZ$56/$EH$56)*$EP$55</f>
        <v>#DIV/0!</v>
      </c>
      <c r="FA78" s="433" t="e">
        <f>(Tabla24105711[[#This Row],[Columna4]]*FA$56/$EH$56)*$EP$55</f>
        <v>#DIV/0!</v>
      </c>
      <c r="FB78" s="433" t="e">
        <f>(Tabla24105711[[#This Row],[Columna4]]*FB$56/$EH$56)*$EP$55</f>
        <v>#DIV/0!</v>
      </c>
      <c r="FD78" s="429" t="s">
        <v>111</v>
      </c>
      <c r="FE78" s="399" t="s">
        <v>848</v>
      </c>
      <c r="FF78" s="400">
        <f t="shared" si="293"/>
        <v>0</v>
      </c>
      <c r="FG78" s="400">
        <f t="shared" si="293"/>
        <v>0</v>
      </c>
      <c r="FH78" s="400">
        <f t="shared" si="293"/>
        <v>0</v>
      </c>
      <c r="FI78" s="400">
        <f t="shared" si="293"/>
        <v>0</v>
      </c>
      <c r="FJ78" s="400">
        <f t="shared" si="293"/>
        <v>0</v>
      </c>
      <c r="FK78" s="400">
        <f t="shared" si="293"/>
        <v>0</v>
      </c>
      <c r="FL78" s="400">
        <f t="shared" si="293"/>
        <v>0</v>
      </c>
      <c r="FM78" s="400">
        <f t="shared" si="293"/>
        <v>0</v>
      </c>
      <c r="FN78" s="400">
        <f t="shared" si="293"/>
        <v>0</v>
      </c>
      <c r="FO78" s="400">
        <f t="shared" si="293"/>
        <v>0</v>
      </c>
      <c r="FP78" s="400">
        <f t="shared" si="293"/>
        <v>0</v>
      </c>
      <c r="FQ78" s="400">
        <f t="shared" si="293"/>
        <v>0</v>
      </c>
      <c r="FR78" s="363">
        <f t="shared" si="197"/>
        <v>0</v>
      </c>
      <c r="FS78" s="260" t="e">
        <f t="shared" si="198"/>
        <v>#DIV/0!</v>
      </c>
      <c r="FV78" s="361"/>
      <c r="FW78" s="362"/>
      <c r="FX78" s="362"/>
      <c r="FY78" s="362"/>
      <c r="FZ78" s="362"/>
      <c r="GA78" s="362"/>
      <c r="GB78" s="362"/>
      <c r="GC78" s="362"/>
      <c r="GD78" s="362"/>
      <c r="GE78" s="362"/>
      <c r="GF78" s="362"/>
      <c r="GG78" s="362"/>
      <c r="GH78" s="362"/>
      <c r="GI78" s="362"/>
      <c r="GJ78" s="365"/>
      <c r="HD78" s="65" t="s">
        <v>550</v>
      </c>
      <c r="HE78" s="66">
        <v>0</v>
      </c>
      <c r="HF78" s="67">
        <f t="shared" si="299"/>
        <v>0</v>
      </c>
      <c r="HG78" s="68">
        <f t="shared" si="300"/>
        <v>0</v>
      </c>
      <c r="HH78" s="69">
        <v>1</v>
      </c>
      <c r="HI78" s="367">
        <v>0</v>
      </c>
      <c r="HJ78" s="143">
        <v>0.1</v>
      </c>
      <c r="HM78" s="283"/>
      <c r="HN78" s="283"/>
      <c r="HO78" s="285"/>
      <c r="HP78" s="283"/>
      <c r="HQ78" s="286"/>
      <c r="HR78" s="283"/>
      <c r="HS78" s="286"/>
      <c r="HT78" s="283"/>
      <c r="HU78" s="286"/>
      <c r="HV78" s="283"/>
      <c r="HW78" s="286"/>
      <c r="HX78" s="283"/>
      <c r="HY78" s="286"/>
      <c r="HZ78" s="283"/>
      <c r="IA78" s="286"/>
      <c r="IB78" s="283"/>
      <c r="IC78" s="286"/>
      <c r="ID78" s="283"/>
      <c r="IE78" s="286"/>
      <c r="IF78" s="283"/>
      <c r="IG78" s="286"/>
      <c r="IH78" s="283"/>
      <c r="II78" s="286"/>
      <c r="IJ78" s="283"/>
      <c r="IK78" s="286"/>
      <c r="IL78" s="283"/>
      <c r="IM78" s="288"/>
    </row>
    <row r="79" spans="39:247" ht="14.4" customHeight="1" x14ac:dyDescent="0.3">
      <c r="AM79" s="394">
        <f t="shared" si="270"/>
        <v>0</v>
      </c>
      <c r="AN79" s="394">
        <f t="shared" si="271"/>
        <v>0</v>
      </c>
      <c r="AO79" s="394">
        <f t="shared" si="272"/>
        <v>0</v>
      </c>
      <c r="AP79" s="394">
        <f t="shared" si="273"/>
        <v>0</v>
      </c>
      <c r="AQ79" s="395" t="s">
        <v>807</v>
      </c>
      <c r="AR79" s="297">
        <f t="shared" si="274"/>
        <v>0</v>
      </c>
      <c r="AS79" s="396" t="e">
        <f t="shared" si="267"/>
        <v>#DIV/0!</v>
      </c>
      <c r="AT79" s="531"/>
      <c r="AU79" s="531"/>
      <c r="AV79" s="299">
        <v>0</v>
      </c>
      <c r="AW79" s="300">
        <v>0</v>
      </c>
      <c r="AX79" s="301"/>
      <c r="BH79" s="531"/>
      <c r="BI79" s="531"/>
      <c r="BJ79" s="396" t="e">
        <f>$AS$76</f>
        <v>#DIV/0!</v>
      </c>
      <c r="BK79" s="242" t="str">
        <f t="shared" si="277"/>
        <v>C21</v>
      </c>
      <c r="BL79" s="433">
        <f>Tabla24[[#This Row],[Columna3]]/7</f>
        <v>0</v>
      </c>
      <c r="BM79" s="433">
        <f>Tabla24[[#This Row],[Columna4]]/4.2</f>
        <v>0</v>
      </c>
      <c r="BN79" s="433">
        <f t="shared" si="278"/>
        <v>0</v>
      </c>
      <c r="BO79" s="433">
        <f t="shared" si="279"/>
        <v>0</v>
      </c>
      <c r="BP79" s="433">
        <f t="shared" si="280"/>
        <v>0</v>
      </c>
      <c r="BQ79" s="433">
        <f t="shared" si="281"/>
        <v>0</v>
      </c>
      <c r="BR79" s="433">
        <f t="shared" si="282"/>
        <v>0</v>
      </c>
      <c r="BS79" s="433">
        <f t="shared" si="283"/>
        <v>0</v>
      </c>
      <c r="BT79" s="433">
        <f t="shared" si="284"/>
        <v>0</v>
      </c>
      <c r="BU79" s="433">
        <f t="shared" si="285"/>
        <v>0</v>
      </c>
      <c r="BV79" s="433">
        <f t="shared" si="286"/>
        <v>0</v>
      </c>
      <c r="BW79" s="433">
        <f t="shared" si="287"/>
        <v>0</v>
      </c>
      <c r="BX79" s="433">
        <f t="shared" si="288"/>
        <v>0</v>
      </c>
      <c r="BY79" s="433">
        <f t="shared" si="289"/>
        <v>0</v>
      </c>
      <c r="BZ79" s="433">
        <f t="shared" si="290"/>
        <v>0</v>
      </c>
      <c r="CB79" s="531"/>
      <c r="CC79" s="531"/>
      <c r="CD79" s="396" t="e">
        <f>$AS$76</f>
        <v>#DIV/0!</v>
      </c>
      <c r="CE79" s="242" t="str">
        <f>Tabla24[[#This Row],[Columna1]]</f>
        <v>C21</v>
      </c>
      <c r="CF79" s="433">
        <f>Tabla2410[[#This Row],[Columna3]]/7</f>
        <v>0</v>
      </c>
      <c r="CG79" s="433">
        <f>Tabla2410[[#This Row],[Columna4]]/4.2</f>
        <v>0</v>
      </c>
      <c r="CH79" s="433">
        <f>Tabla24[[#This Row],[Columna16]]</f>
        <v>0</v>
      </c>
      <c r="CI79" s="433" t="e">
        <f>(Tabla2410[[#This Row],[Columna4]]*CI$56/$BZ$56)*$CH$55</f>
        <v>#DIV/0!</v>
      </c>
      <c r="CJ79" s="433" t="e">
        <f>(Tabla2410[[#This Row],[Columna4]]*CJ$56/$BZ$56)*$CH$55</f>
        <v>#DIV/0!</v>
      </c>
      <c r="CK79" s="433" t="e">
        <f>(Tabla2410[[#This Row],[Columna4]]*CK$56/$BZ$56)*$CH$55</f>
        <v>#DIV/0!</v>
      </c>
      <c r="CL79" s="433" t="e">
        <f>(Tabla2410[[#This Row],[Columna4]]*CL$56/$BZ$56)*$CH$55</f>
        <v>#DIV/0!</v>
      </c>
      <c r="CM79" s="433" t="e">
        <f>(Tabla2410[[#This Row],[Columna4]]*CM$56/$BZ$56)*$CH$55</f>
        <v>#DIV/0!</v>
      </c>
      <c r="CN79" s="433" t="e">
        <f>(Tabla2410[[#This Row],[Columna4]]*CN$56/$BZ$56)*$CH$55</f>
        <v>#DIV/0!</v>
      </c>
      <c r="CO79" s="433" t="e">
        <f>(Tabla2410[[#This Row],[Columna4]]*CO$56/$BZ$56)*$CH$55</f>
        <v>#DIV/0!</v>
      </c>
      <c r="CP79" s="433" t="e">
        <f>(Tabla2410[[#This Row],[Columna4]]*CP$56/$BZ$56)*$CH$55</f>
        <v>#DIV/0!</v>
      </c>
      <c r="CQ79" s="433" t="e">
        <f>(Tabla2410[[#This Row],[Columna4]]*CQ$56/$BZ$56)*$CH$55</f>
        <v>#DIV/0!</v>
      </c>
      <c r="CR79" s="433" t="e">
        <f>(Tabla2410[[#This Row],[Columna4]]*CR$56/$BZ$56)*$CH$55</f>
        <v>#DIV/0!</v>
      </c>
      <c r="CS79" s="433" t="e">
        <f>(Tabla2410[[#This Row],[Columna4]]*CS$56/$BZ$56)*$CH$55</f>
        <v>#DIV/0!</v>
      </c>
      <c r="CT79" s="433" t="e">
        <f>(Tabla2410[[#This Row],[Columna4]]*CT$56/$BZ$56)*$CH$55</f>
        <v>#DIV/0!</v>
      </c>
      <c r="CV79" s="531"/>
      <c r="CW79" s="531"/>
      <c r="CX79" s="396" t="e">
        <f>$AS$76</f>
        <v>#DIV/0!</v>
      </c>
      <c r="CY79" s="242" t="str">
        <f>Tabla24[[#This Row],[Columna1]]</f>
        <v>C21</v>
      </c>
      <c r="CZ79" s="433" t="e">
        <f>Tabla24105[[#This Row],[Columna3]]/7</f>
        <v>#DIV/0!</v>
      </c>
      <c r="DA79" s="433" t="e">
        <f>Tabla24105[[#This Row],[Columna4]]/4.2</f>
        <v>#DIV/0!</v>
      </c>
      <c r="DB79" s="433" t="e">
        <f>Tabla2410[[#This Row],[Columna16]]</f>
        <v>#DIV/0!</v>
      </c>
      <c r="DC79" s="433" t="e">
        <f>(Tabla24105[[#This Row],[Columna4]]*DC$56/$CT$56)*$DB$55</f>
        <v>#DIV/0!</v>
      </c>
      <c r="DD79" s="433" t="e">
        <f>(Tabla24105[[#This Row],[Columna4]]*DD$56/$CT$56)*$DB$55</f>
        <v>#DIV/0!</v>
      </c>
      <c r="DE79" s="433" t="e">
        <f>(Tabla24105[[#This Row],[Columna4]]*DE$56/$CT$56)*$DB$55</f>
        <v>#DIV/0!</v>
      </c>
      <c r="DF79" s="433" t="e">
        <f>(Tabla24105[[#This Row],[Columna4]]*DF$56/$CT$56)*$DB$55</f>
        <v>#DIV/0!</v>
      </c>
      <c r="DG79" s="433" t="e">
        <f>(Tabla24105[[#This Row],[Columna4]]*DG$56/$CT$56)*$DB$55</f>
        <v>#DIV/0!</v>
      </c>
      <c r="DH79" s="433" t="e">
        <f>(Tabla24105[[#This Row],[Columna4]]*DH$56/$CT$56)*$DB$55</f>
        <v>#DIV/0!</v>
      </c>
      <c r="DI79" s="433" t="e">
        <f>(Tabla24105[[#This Row],[Columna4]]*DI$56/$CT$56)*$DB$55</f>
        <v>#DIV/0!</v>
      </c>
      <c r="DJ79" s="433" t="e">
        <f>(Tabla24105[[#This Row],[Columna4]]*DJ$56/$CT$56)*$DB$55</f>
        <v>#DIV/0!</v>
      </c>
      <c r="DK79" s="433" t="e">
        <f>(Tabla24105[[#This Row],[Columna4]]*DK$56/$CT$56)*$DB$55</f>
        <v>#DIV/0!</v>
      </c>
      <c r="DL79" s="433" t="e">
        <f>(Tabla24105[[#This Row],[Columna4]]*DL$56/$CT$56)*$DB$55</f>
        <v>#DIV/0!</v>
      </c>
      <c r="DM79" s="433" t="e">
        <f>(Tabla24105[[#This Row],[Columna4]]*DM$56/$CT$56)*$DB$55</f>
        <v>#DIV/0!</v>
      </c>
      <c r="DN79" s="433" t="e">
        <f>(Tabla24105[[#This Row],[Columna4]]*DN$56/$CT$56)*$DB$55</f>
        <v>#DIV/0!</v>
      </c>
      <c r="DP79" s="531"/>
      <c r="DQ79" s="531"/>
      <c r="DR79" s="396" t="e">
        <f>$AS$76</f>
        <v>#DIV/0!</v>
      </c>
      <c r="DS79" s="242" t="str">
        <f>Tabla24[[#This Row],[Columna1]]</f>
        <v>C21</v>
      </c>
      <c r="DT79" s="433" t="e">
        <f>Tabla241057[[#This Row],[Columna3]]/7</f>
        <v>#DIV/0!</v>
      </c>
      <c r="DU79" s="433" t="e">
        <f>Tabla241057[[#This Row],[Columna4]]/4.2</f>
        <v>#DIV/0!</v>
      </c>
      <c r="DV79" s="433" t="e">
        <f>Tabla24105[[#This Row],[Columna16]]</f>
        <v>#DIV/0!</v>
      </c>
      <c r="DW79" s="433" t="e">
        <f>(Tabla241057[[#This Row],[Columna4]]*DW$56/$DN$56)*$DV$55</f>
        <v>#DIV/0!</v>
      </c>
      <c r="DX79" s="433" t="e">
        <f>(Tabla241057[[#This Row],[Columna4]]*DX$56/$DN$56)*$DV$55</f>
        <v>#DIV/0!</v>
      </c>
      <c r="DY79" s="433" t="e">
        <f>(Tabla241057[[#This Row],[Columna4]]*DY$56/$DN$56)*$DV$55</f>
        <v>#DIV/0!</v>
      </c>
      <c r="DZ79" s="433" t="e">
        <f>(Tabla241057[[#This Row],[Columna4]]*DZ$56/$DN$56)*$DV$55</f>
        <v>#DIV/0!</v>
      </c>
      <c r="EA79" s="433" t="e">
        <f>(Tabla241057[[#This Row],[Columna4]]*EA$56/$DN$56)*$DV$55</f>
        <v>#DIV/0!</v>
      </c>
      <c r="EB79" s="433" t="e">
        <f>(Tabla241057[[#This Row],[Columna4]]*EB$56/$DN$56)*$DV$55</f>
        <v>#DIV/0!</v>
      </c>
      <c r="EC79" s="433" t="e">
        <f>(Tabla241057[[#This Row],[Columna4]]*EC$56/$DN$56)*$DV$55</f>
        <v>#DIV/0!</v>
      </c>
      <c r="ED79" s="433" t="e">
        <f>(Tabla241057[[#This Row],[Columna4]]*ED$56/$DN$56)*$DV$55</f>
        <v>#DIV/0!</v>
      </c>
      <c r="EE79" s="433" t="e">
        <f>(Tabla241057[[#This Row],[Columna4]]*EE$56/$DN$56)*$DV$55</f>
        <v>#DIV/0!</v>
      </c>
      <c r="EF79" s="433" t="e">
        <f>(Tabla241057[[#This Row],[Columna4]]*EF$56/$DN$56)*$DV$55</f>
        <v>#DIV/0!</v>
      </c>
      <c r="EG79" s="433" t="e">
        <f>(Tabla241057[[#This Row],[Columna4]]*EG$56/$DN$56)*$DV$55</f>
        <v>#DIV/0!</v>
      </c>
      <c r="EH79" s="433" t="e">
        <f>(Tabla241057[[#This Row],[Columna4]]*EH$56/$DN$56)*$DV$55</f>
        <v>#DIV/0!</v>
      </c>
      <c r="EJ79" s="531"/>
      <c r="EK79" s="531"/>
      <c r="EL79" s="396" t="e">
        <f>$AS$76</f>
        <v>#DIV/0!</v>
      </c>
      <c r="EM79" s="242" t="str">
        <f>Tabla24[[#This Row],[Columna1]]</f>
        <v>C21</v>
      </c>
      <c r="EN79" s="433" t="e">
        <f>Tabla24105711[[#This Row],[Columna3]]/7</f>
        <v>#DIV/0!</v>
      </c>
      <c r="EO79" s="433" t="e">
        <f>Tabla24105711[[#This Row],[Columna4]]/4.2</f>
        <v>#DIV/0!</v>
      </c>
      <c r="EP79" s="433" t="e">
        <f>Tabla241057[[#This Row],[Columna16]]</f>
        <v>#DIV/0!</v>
      </c>
      <c r="EQ79" s="433" t="e">
        <f>(Tabla24105711[[#This Row],[Columna4]]*EQ$56/$EH$56)*$EP$55</f>
        <v>#DIV/0!</v>
      </c>
      <c r="ER79" s="433" t="e">
        <f>(Tabla24105711[[#This Row],[Columna4]]*ER$56/$EH$56)*$EP$55</f>
        <v>#DIV/0!</v>
      </c>
      <c r="ES79" s="433" t="e">
        <f>(Tabla24105711[[#This Row],[Columna4]]*ES$56/$EH$56)*$EP$55</f>
        <v>#DIV/0!</v>
      </c>
      <c r="ET79" s="433" t="e">
        <f>(Tabla24105711[[#This Row],[Columna4]]*ET$56/$EH$56)*$EP$55</f>
        <v>#DIV/0!</v>
      </c>
      <c r="EU79" s="433" t="e">
        <f>(Tabla24105711[[#This Row],[Columna4]]*EU$56/$EH$56)*$EP$55</f>
        <v>#DIV/0!</v>
      </c>
      <c r="EV79" s="433" t="e">
        <f>(Tabla24105711[[#This Row],[Columna4]]*EV$56/$EH$56)*$EP$55</f>
        <v>#DIV/0!</v>
      </c>
      <c r="EW79" s="433" t="e">
        <f>(Tabla24105711[[#This Row],[Columna4]]*EW$56/$EH$56)*$EP$55</f>
        <v>#DIV/0!</v>
      </c>
      <c r="EX79" s="433" t="e">
        <f>(Tabla24105711[[#This Row],[Columna4]]*EX$56/$EH$56)*$EP$55</f>
        <v>#DIV/0!</v>
      </c>
      <c r="EY79" s="433" t="e">
        <f>(Tabla24105711[[#This Row],[Columna4]]*EY$56/$EH$56)*$EP$55</f>
        <v>#DIV/0!</v>
      </c>
      <c r="EZ79" s="433" t="e">
        <f>(Tabla24105711[[#This Row],[Columna4]]*EZ$56/$EH$56)*$EP$55</f>
        <v>#DIV/0!</v>
      </c>
      <c r="FA79" s="433" t="e">
        <f>(Tabla24105711[[#This Row],[Columna4]]*FA$56/$EH$56)*$EP$55</f>
        <v>#DIV/0!</v>
      </c>
      <c r="FB79" s="433" t="e">
        <f>(Tabla24105711[[#This Row],[Columna4]]*FB$56/$EH$56)*$EP$55</f>
        <v>#DIV/0!</v>
      </c>
      <c r="FD79" s="397" t="s">
        <v>113</v>
      </c>
      <c r="FE79" s="399" t="s">
        <v>110</v>
      </c>
      <c r="FF79" s="400">
        <f t="shared" si="293"/>
        <v>0</v>
      </c>
      <c r="FG79" s="400">
        <f t="shared" si="293"/>
        <v>0</v>
      </c>
      <c r="FH79" s="400">
        <f t="shared" si="293"/>
        <v>0</v>
      </c>
      <c r="FI79" s="400">
        <f t="shared" si="293"/>
        <v>0</v>
      </c>
      <c r="FJ79" s="400">
        <f t="shared" si="293"/>
        <v>0</v>
      </c>
      <c r="FK79" s="400">
        <f t="shared" si="293"/>
        <v>0</v>
      </c>
      <c r="FL79" s="400">
        <f t="shared" si="293"/>
        <v>0</v>
      </c>
      <c r="FM79" s="400">
        <f t="shared" si="293"/>
        <v>0</v>
      </c>
      <c r="FN79" s="400">
        <f t="shared" si="293"/>
        <v>0</v>
      </c>
      <c r="FO79" s="400">
        <f t="shared" si="293"/>
        <v>0</v>
      </c>
      <c r="FP79" s="400">
        <f t="shared" si="293"/>
        <v>0</v>
      </c>
      <c r="FQ79" s="400">
        <f t="shared" si="293"/>
        <v>0</v>
      </c>
      <c r="FR79" s="363">
        <f t="shared" si="197"/>
        <v>0</v>
      </c>
      <c r="FS79" s="260" t="e">
        <f t="shared" si="198"/>
        <v>#DIV/0!</v>
      </c>
      <c r="FV79" s="357" t="s">
        <v>451</v>
      </c>
      <c r="FW79" s="358" t="e">
        <f>+FW75-FW77</f>
        <v>#DIV/0!</v>
      </c>
      <c r="FX79" s="358" t="e">
        <f t="shared" ref="FX79:GH79" si="304">+FX75-FX77</f>
        <v>#DIV/0!</v>
      </c>
      <c r="FY79" s="358" t="e">
        <f t="shared" si="304"/>
        <v>#DIV/0!</v>
      </c>
      <c r="FZ79" s="358" t="e">
        <f t="shared" si="304"/>
        <v>#DIV/0!</v>
      </c>
      <c r="GA79" s="358" t="e">
        <f t="shared" si="304"/>
        <v>#DIV/0!</v>
      </c>
      <c r="GB79" s="358" t="e">
        <f t="shared" si="304"/>
        <v>#DIV/0!</v>
      </c>
      <c r="GC79" s="358" t="e">
        <f t="shared" si="304"/>
        <v>#DIV/0!</v>
      </c>
      <c r="GD79" s="358" t="e">
        <f t="shared" si="304"/>
        <v>#DIV/0!</v>
      </c>
      <c r="GE79" s="358" t="e">
        <f t="shared" si="304"/>
        <v>#DIV/0!</v>
      </c>
      <c r="GF79" s="358" t="e">
        <f t="shared" si="304"/>
        <v>#DIV/0!</v>
      </c>
      <c r="GG79" s="358" t="e">
        <f t="shared" si="304"/>
        <v>#DIV/0!</v>
      </c>
      <c r="GH79" s="358" t="e">
        <f t="shared" si="304"/>
        <v>#DIV/0!</v>
      </c>
      <c r="GI79" s="309" t="e">
        <f t="shared" ref="GI79" si="305">SUM(FW79:GH79)</f>
        <v>#DIV/0!</v>
      </c>
      <c r="GJ79" s="262" t="e">
        <f>GI79/$GI$6</f>
        <v>#DIV/0!</v>
      </c>
      <c r="HD79" s="65" t="s">
        <v>709</v>
      </c>
      <c r="HE79" s="66">
        <v>0</v>
      </c>
      <c r="HF79" s="67">
        <f t="shared" si="299"/>
        <v>0</v>
      </c>
      <c r="HG79" s="68">
        <f t="shared" si="300"/>
        <v>0</v>
      </c>
      <c r="HH79" s="69">
        <v>1</v>
      </c>
      <c r="HI79" s="367">
        <v>0</v>
      </c>
      <c r="HJ79" s="143"/>
      <c r="HM79" s="283"/>
      <c r="HN79" s="283"/>
      <c r="HO79" s="285"/>
      <c r="HP79" s="283"/>
      <c r="HQ79" s="286"/>
      <c r="HR79" s="283"/>
      <c r="HS79" s="286"/>
      <c r="HT79" s="283"/>
      <c r="HU79" s="286"/>
      <c r="HV79" s="283"/>
      <c r="HW79" s="286"/>
      <c r="HX79" s="283"/>
      <c r="HY79" s="286"/>
      <c r="HZ79" s="283"/>
      <c r="IA79" s="286"/>
      <c r="IB79" s="283"/>
      <c r="IC79" s="286"/>
      <c r="ID79" s="283"/>
      <c r="IE79" s="286"/>
      <c r="IF79" s="283"/>
      <c r="IG79" s="286"/>
      <c r="IH79" s="283"/>
      <c r="II79" s="286"/>
      <c r="IJ79" s="283"/>
      <c r="IK79" s="286"/>
      <c r="IL79" s="283"/>
      <c r="IM79" s="288"/>
    </row>
    <row r="80" spans="39:247" ht="14.4" customHeight="1" x14ac:dyDescent="0.3">
      <c r="AM80" s="394">
        <f t="shared" si="270"/>
        <v>0</v>
      </c>
      <c r="AN80" s="394">
        <f t="shared" si="271"/>
        <v>0</v>
      </c>
      <c r="AO80" s="394">
        <f t="shared" si="272"/>
        <v>0</v>
      </c>
      <c r="AP80" s="394">
        <f t="shared" si="273"/>
        <v>0</v>
      </c>
      <c r="AQ80" s="395" t="s">
        <v>809</v>
      </c>
      <c r="AR80" s="297">
        <f t="shared" si="274"/>
        <v>0</v>
      </c>
      <c r="AS80" s="396" t="e">
        <f t="shared" si="267"/>
        <v>#DIV/0!</v>
      </c>
      <c r="AT80" s="531"/>
      <c r="AU80" s="531"/>
      <c r="AV80" s="299">
        <v>0</v>
      </c>
      <c r="AW80" s="300">
        <v>0</v>
      </c>
      <c r="AX80" s="301"/>
      <c r="BH80" s="531"/>
      <c r="BI80" s="531"/>
      <c r="BJ80" s="396" t="e">
        <f>$AS$77</f>
        <v>#DIV/0!</v>
      </c>
      <c r="BK80" s="242" t="str">
        <f t="shared" si="277"/>
        <v>C22</v>
      </c>
      <c r="BL80" s="433">
        <f>Tabla24[[#This Row],[Columna3]]/7</f>
        <v>0</v>
      </c>
      <c r="BM80" s="433">
        <f>Tabla24[[#This Row],[Columna4]]/4.2</f>
        <v>0</v>
      </c>
      <c r="BN80" s="433">
        <f t="shared" si="278"/>
        <v>0</v>
      </c>
      <c r="BO80" s="433">
        <f t="shared" si="279"/>
        <v>0</v>
      </c>
      <c r="BP80" s="433">
        <f t="shared" si="280"/>
        <v>0</v>
      </c>
      <c r="BQ80" s="433">
        <f t="shared" si="281"/>
        <v>0</v>
      </c>
      <c r="BR80" s="433">
        <f t="shared" si="282"/>
        <v>0</v>
      </c>
      <c r="BS80" s="433">
        <f t="shared" si="283"/>
        <v>0</v>
      </c>
      <c r="BT80" s="433">
        <f t="shared" si="284"/>
        <v>0</v>
      </c>
      <c r="BU80" s="433">
        <f t="shared" si="285"/>
        <v>0</v>
      </c>
      <c r="BV80" s="433">
        <f t="shared" si="286"/>
        <v>0</v>
      </c>
      <c r="BW80" s="433">
        <f t="shared" si="287"/>
        <v>0</v>
      </c>
      <c r="BX80" s="433">
        <f t="shared" si="288"/>
        <v>0</v>
      </c>
      <c r="BY80" s="433">
        <f t="shared" si="289"/>
        <v>0</v>
      </c>
      <c r="BZ80" s="433">
        <f t="shared" si="290"/>
        <v>0</v>
      </c>
      <c r="CB80" s="531"/>
      <c r="CC80" s="531"/>
      <c r="CD80" s="396" t="e">
        <f>$AS$77</f>
        <v>#DIV/0!</v>
      </c>
      <c r="CE80" s="242" t="str">
        <f>Tabla24[[#This Row],[Columna1]]</f>
        <v>C22</v>
      </c>
      <c r="CF80" s="433">
        <f>Tabla2410[[#This Row],[Columna3]]/7</f>
        <v>0</v>
      </c>
      <c r="CG80" s="433">
        <f>Tabla2410[[#This Row],[Columna4]]/4.2</f>
        <v>0</v>
      </c>
      <c r="CH80" s="433">
        <f>Tabla24[[#This Row],[Columna16]]</f>
        <v>0</v>
      </c>
      <c r="CI80" s="433" t="e">
        <f>(Tabla2410[[#This Row],[Columna4]]*CI$56/$BZ$56)*$CH$55</f>
        <v>#DIV/0!</v>
      </c>
      <c r="CJ80" s="433" t="e">
        <f>(Tabla2410[[#This Row],[Columna4]]*CJ$56/$BZ$56)*$CH$55</f>
        <v>#DIV/0!</v>
      </c>
      <c r="CK80" s="433" t="e">
        <f>(Tabla2410[[#This Row],[Columna4]]*CK$56/$BZ$56)*$CH$55</f>
        <v>#DIV/0!</v>
      </c>
      <c r="CL80" s="433" t="e">
        <f>(Tabla2410[[#This Row],[Columna4]]*CL$56/$BZ$56)*$CH$55</f>
        <v>#DIV/0!</v>
      </c>
      <c r="CM80" s="433" t="e">
        <f>(Tabla2410[[#This Row],[Columna4]]*CM$56/$BZ$56)*$CH$55</f>
        <v>#DIV/0!</v>
      </c>
      <c r="CN80" s="433" t="e">
        <f>(Tabla2410[[#This Row],[Columna4]]*CN$56/$BZ$56)*$CH$55</f>
        <v>#DIV/0!</v>
      </c>
      <c r="CO80" s="433" t="e">
        <f>(Tabla2410[[#This Row],[Columna4]]*CO$56/$BZ$56)*$CH$55</f>
        <v>#DIV/0!</v>
      </c>
      <c r="CP80" s="433" t="e">
        <f>(Tabla2410[[#This Row],[Columna4]]*CP$56/$BZ$56)*$CH$55</f>
        <v>#DIV/0!</v>
      </c>
      <c r="CQ80" s="433" t="e">
        <f>(Tabla2410[[#This Row],[Columna4]]*CQ$56/$BZ$56)*$CH$55</f>
        <v>#DIV/0!</v>
      </c>
      <c r="CR80" s="433" t="e">
        <f>(Tabla2410[[#This Row],[Columna4]]*CR$56/$BZ$56)*$CH$55</f>
        <v>#DIV/0!</v>
      </c>
      <c r="CS80" s="433" t="e">
        <f>(Tabla2410[[#This Row],[Columna4]]*CS$56/$BZ$56)*$CH$55</f>
        <v>#DIV/0!</v>
      </c>
      <c r="CT80" s="433" t="e">
        <f>(Tabla2410[[#This Row],[Columna4]]*CT$56/$BZ$56)*$CH$55</f>
        <v>#DIV/0!</v>
      </c>
      <c r="CV80" s="531"/>
      <c r="CW80" s="531"/>
      <c r="CX80" s="396" t="e">
        <f>$AS$77</f>
        <v>#DIV/0!</v>
      </c>
      <c r="CY80" s="242" t="str">
        <f>Tabla24[[#This Row],[Columna1]]</f>
        <v>C22</v>
      </c>
      <c r="CZ80" s="433" t="e">
        <f>Tabla24105[[#This Row],[Columna3]]/7</f>
        <v>#DIV/0!</v>
      </c>
      <c r="DA80" s="433" t="e">
        <f>Tabla24105[[#This Row],[Columna4]]/4.2</f>
        <v>#DIV/0!</v>
      </c>
      <c r="DB80" s="433" t="e">
        <f>Tabla2410[[#This Row],[Columna16]]</f>
        <v>#DIV/0!</v>
      </c>
      <c r="DC80" s="433" t="e">
        <f>(Tabla24105[[#This Row],[Columna4]]*DC$56/$CT$56)*$DB$55</f>
        <v>#DIV/0!</v>
      </c>
      <c r="DD80" s="433" t="e">
        <f>(Tabla24105[[#This Row],[Columna4]]*DD$56/$CT$56)*$DB$55</f>
        <v>#DIV/0!</v>
      </c>
      <c r="DE80" s="433" t="e">
        <f>(Tabla24105[[#This Row],[Columna4]]*DE$56/$CT$56)*$DB$55</f>
        <v>#DIV/0!</v>
      </c>
      <c r="DF80" s="433" t="e">
        <f>(Tabla24105[[#This Row],[Columna4]]*DF$56/$CT$56)*$DB$55</f>
        <v>#DIV/0!</v>
      </c>
      <c r="DG80" s="433" t="e">
        <f>(Tabla24105[[#This Row],[Columna4]]*DG$56/$CT$56)*$DB$55</f>
        <v>#DIV/0!</v>
      </c>
      <c r="DH80" s="433" t="e">
        <f>(Tabla24105[[#This Row],[Columna4]]*DH$56/$CT$56)*$DB$55</f>
        <v>#DIV/0!</v>
      </c>
      <c r="DI80" s="433" t="e">
        <f>(Tabla24105[[#This Row],[Columna4]]*DI$56/$CT$56)*$DB$55</f>
        <v>#DIV/0!</v>
      </c>
      <c r="DJ80" s="433" t="e">
        <f>(Tabla24105[[#This Row],[Columna4]]*DJ$56/$CT$56)*$DB$55</f>
        <v>#DIV/0!</v>
      </c>
      <c r="DK80" s="433" t="e">
        <f>(Tabla24105[[#This Row],[Columna4]]*DK$56/$CT$56)*$DB$55</f>
        <v>#DIV/0!</v>
      </c>
      <c r="DL80" s="433" t="e">
        <f>(Tabla24105[[#This Row],[Columna4]]*DL$56/$CT$56)*$DB$55</f>
        <v>#DIV/0!</v>
      </c>
      <c r="DM80" s="433" t="e">
        <f>(Tabla24105[[#This Row],[Columna4]]*DM$56/$CT$56)*$DB$55</f>
        <v>#DIV/0!</v>
      </c>
      <c r="DN80" s="433" t="e">
        <f>(Tabla24105[[#This Row],[Columna4]]*DN$56/$CT$56)*$DB$55</f>
        <v>#DIV/0!</v>
      </c>
      <c r="DP80" s="531"/>
      <c r="DQ80" s="531"/>
      <c r="DR80" s="396" t="e">
        <f>$AS$77</f>
        <v>#DIV/0!</v>
      </c>
      <c r="DS80" s="242" t="str">
        <f>Tabla24[[#This Row],[Columna1]]</f>
        <v>C22</v>
      </c>
      <c r="DT80" s="433" t="e">
        <f>Tabla241057[[#This Row],[Columna3]]/7</f>
        <v>#DIV/0!</v>
      </c>
      <c r="DU80" s="433" t="e">
        <f>Tabla241057[[#This Row],[Columna4]]/4.2</f>
        <v>#DIV/0!</v>
      </c>
      <c r="DV80" s="433" t="e">
        <f>Tabla24105[[#This Row],[Columna16]]</f>
        <v>#DIV/0!</v>
      </c>
      <c r="DW80" s="433" t="e">
        <f>(Tabla241057[[#This Row],[Columna4]]*DW$56/$DN$56)*$DV$55</f>
        <v>#DIV/0!</v>
      </c>
      <c r="DX80" s="433" t="e">
        <f>(Tabla241057[[#This Row],[Columna4]]*DX$56/$DN$56)*$DV$55</f>
        <v>#DIV/0!</v>
      </c>
      <c r="DY80" s="433" t="e">
        <f>(Tabla241057[[#This Row],[Columna4]]*DY$56/$DN$56)*$DV$55</f>
        <v>#DIV/0!</v>
      </c>
      <c r="DZ80" s="433" t="e">
        <f>(Tabla241057[[#This Row],[Columna4]]*DZ$56/$DN$56)*$DV$55</f>
        <v>#DIV/0!</v>
      </c>
      <c r="EA80" s="433" t="e">
        <f>(Tabla241057[[#This Row],[Columna4]]*EA$56/$DN$56)*$DV$55</f>
        <v>#DIV/0!</v>
      </c>
      <c r="EB80" s="433" t="e">
        <f>(Tabla241057[[#This Row],[Columna4]]*EB$56/$DN$56)*$DV$55</f>
        <v>#DIV/0!</v>
      </c>
      <c r="EC80" s="433" t="e">
        <f>(Tabla241057[[#This Row],[Columna4]]*EC$56/$DN$56)*$DV$55</f>
        <v>#DIV/0!</v>
      </c>
      <c r="ED80" s="433" t="e">
        <f>(Tabla241057[[#This Row],[Columna4]]*ED$56/$DN$56)*$DV$55</f>
        <v>#DIV/0!</v>
      </c>
      <c r="EE80" s="433" t="e">
        <f>(Tabla241057[[#This Row],[Columna4]]*EE$56/$DN$56)*$DV$55</f>
        <v>#DIV/0!</v>
      </c>
      <c r="EF80" s="433" t="e">
        <f>(Tabla241057[[#This Row],[Columna4]]*EF$56/$DN$56)*$DV$55</f>
        <v>#DIV/0!</v>
      </c>
      <c r="EG80" s="433" t="e">
        <f>(Tabla241057[[#This Row],[Columna4]]*EG$56/$DN$56)*$DV$55</f>
        <v>#DIV/0!</v>
      </c>
      <c r="EH80" s="433" t="e">
        <f>(Tabla241057[[#This Row],[Columna4]]*EH$56/$DN$56)*$DV$55</f>
        <v>#DIV/0!</v>
      </c>
      <c r="EJ80" s="531"/>
      <c r="EK80" s="531"/>
      <c r="EL80" s="396" t="e">
        <f>$AS$77</f>
        <v>#DIV/0!</v>
      </c>
      <c r="EM80" s="242" t="str">
        <f>Tabla24[[#This Row],[Columna1]]</f>
        <v>C22</v>
      </c>
      <c r="EN80" s="433" t="e">
        <f>Tabla24105711[[#This Row],[Columna3]]/7</f>
        <v>#DIV/0!</v>
      </c>
      <c r="EO80" s="433" t="e">
        <f>Tabla24105711[[#This Row],[Columna4]]/4.2</f>
        <v>#DIV/0!</v>
      </c>
      <c r="EP80" s="433" t="e">
        <f>Tabla241057[[#This Row],[Columna16]]</f>
        <v>#DIV/0!</v>
      </c>
      <c r="EQ80" s="433" t="e">
        <f>(Tabla24105711[[#This Row],[Columna4]]*EQ$56/$EH$56)*$EP$55</f>
        <v>#DIV/0!</v>
      </c>
      <c r="ER80" s="433" t="e">
        <f>(Tabla24105711[[#This Row],[Columna4]]*ER$56/$EH$56)*$EP$55</f>
        <v>#DIV/0!</v>
      </c>
      <c r="ES80" s="433" t="e">
        <f>(Tabla24105711[[#This Row],[Columna4]]*ES$56/$EH$56)*$EP$55</f>
        <v>#DIV/0!</v>
      </c>
      <c r="ET80" s="433" t="e">
        <f>(Tabla24105711[[#This Row],[Columna4]]*ET$56/$EH$56)*$EP$55</f>
        <v>#DIV/0!</v>
      </c>
      <c r="EU80" s="433" t="e">
        <f>(Tabla24105711[[#This Row],[Columna4]]*EU$56/$EH$56)*$EP$55</f>
        <v>#DIV/0!</v>
      </c>
      <c r="EV80" s="433" t="e">
        <f>(Tabla24105711[[#This Row],[Columna4]]*EV$56/$EH$56)*$EP$55</f>
        <v>#DIV/0!</v>
      </c>
      <c r="EW80" s="433" t="e">
        <f>(Tabla24105711[[#This Row],[Columna4]]*EW$56/$EH$56)*$EP$55</f>
        <v>#DIV/0!</v>
      </c>
      <c r="EX80" s="433" t="e">
        <f>(Tabla24105711[[#This Row],[Columna4]]*EX$56/$EH$56)*$EP$55</f>
        <v>#DIV/0!</v>
      </c>
      <c r="EY80" s="433" t="e">
        <f>(Tabla24105711[[#This Row],[Columna4]]*EY$56/$EH$56)*$EP$55</f>
        <v>#DIV/0!</v>
      </c>
      <c r="EZ80" s="433" t="e">
        <f>(Tabla24105711[[#This Row],[Columna4]]*EZ$56/$EH$56)*$EP$55</f>
        <v>#DIV/0!</v>
      </c>
      <c r="FA80" s="433" t="e">
        <f>(Tabla24105711[[#This Row],[Columna4]]*FA$56/$EH$56)*$EP$55</f>
        <v>#DIV/0!</v>
      </c>
      <c r="FB80" s="433" t="e">
        <f>(Tabla24105711[[#This Row],[Columna4]]*FB$56/$EH$56)*$EP$55</f>
        <v>#DIV/0!</v>
      </c>
      <c r="FD80" s="397" t="s">
        <v>115</v>
      </c>
      <c r="FE80" s="357" t="s">
        <v>112</v>
      </c>
      <c r="FF80" s="325">
        <f>SUM(FF81:FF83)</f>
        <v>0</v>
      </c>
      <c r="FG80" s="325">
        <f t="shared" ref="FG80:FQ80" si="306">SUM(FG81:FG83)</f>
        <v>0</v>
      </c>
      <c r="FH80" s="325">
        <f t="shared" si="306"/>
        <v>0</v>
      </c>
      <c r="FI80" s="325">
        <f t="shared" si="306"/>
        <v>0</v>
      </c>
      <c r="FJ80" s="325">
        <f t="shared" si="306"/>
        <v>0</v>
      </c>
      <c r="FK80" s="325">
        <f t="shared" si="306"/>
        <v>0</v>
      </c>
      <c r="FL80" s="325">
        <f t="shared" si="306"/>
        <v>0</v>
      </c>
      <c r="FM80" s="325">
        <f t="shared" si="306"/>
        <v>0</v>
      </c>
      <c r="FN80" s="325">
        <f t="shared" si="306"/>
        <v>0</v>
      </c>
      <c r="FO80" s="325">
        <f t="shared" si="306"/>
        <v>0</v>
      </c>
      <c r="FP80" s="325">
        <f t="shared" si="306"/>
        <v>0</v>
      </c>
      <c r="FQ80" s="325">
        <f t="shared" si="306"/>
        <v>0</v>
      </c>
      <c r="FR80" s="309">
        <f t="shared" si="197"/>
        <v>0</v>
      </c>
      <c r="FS80" s="260" t="e">
        <f t="shared" si="198"/>
        <v>#DIV/0!</v>
      </c>
      <c r="FV80" s="361"/>
      <c r="FW80" s="362"/>
      <c r="FX80" s="362"/>
      <c r="FY80" s="362"/>
      <c r="FZ80" s="362"/>
      <c r="GA80" s="362"/>
      <c r="GB80" s="362"/>
      <c r="GC80" s="362"/>
      <c r="GD80" s="362"/>
      <c r="GE80" s="362"/>
      <c r="GF80" s="362"/>
      <c r="GG80" s="362"/>
      <c r="GH80" s="362"/>
      <c r="GI80" s="362"/>
      <c r="GJ80" s="365"/>
      <c r="HD80" s="506" t="s">
        <v>551</v>
      </c>
      <c r="HE80" s="506"/>
      <c r="HF80" s="506"/>
      <c r="HG80" s="506"/>
      <c r="HH80" s="59">
        <f>HF71+HF45+HF14</f>
        <v>0</v>
      </c>
      <c r="HI80" s="51"/>
      <c r="HJ80" s="143"/>
      <c r="HM80" s="283"/>
      <c r="HN80" s="283"/>
      <c r="HO80" s="285"/>
      <c r="HP80" s="283"/>
      <c r="HQ80" s="286"/>
      <c r="HR80" s="283"/>
      <c r="HS80" s="286"/>
      <c r="HT80" s="283"/>
      <c r="HU80" s="286"/>
      <c r="HV80" s="283"/>
      <c r="HW80" s="286"/>
      <c r="HX80" s="283"/>
      <c r="HY80" s="286"/>
      <c r="HZ80" s="283"/>
      <c r="IA80" s="286"/>
      <c r="IB80" s="283"/>
      <c r="IC80" s="286"/>
      <c r="ID80" s="283"/>
      <c r="IE80" s="286"/>
      <c r="IF80" s="283"/>
      <c r="IG80" s="286"/>
      <c r="IH80" s="283"/>
      <c r="II80" s="286"/>
      <c r="IJ80" s="283"/>
      <c r="IK80" s="286"/>
      <c r="IL80" s="283"/>
      <c r="IM80" s="288"/>
    </row>
    <row r="81" spans="39:247" ht="14.4" customHeight="1" x14ac:dyDescent="0.3">
      <c r="AM81" s="394">
        <f t="shared" si="270"/>
        <v>0</v>
      </c>
      <c r="AN81" s="394">
        <f t="shared" si="271"/>
        <v>0</v>
      </c>
      <c r="AO81" s="394">
        <f t="shared" si="272"/>
        <v>0</v>
      </c>
      <c r="AP81" s="394">
        <f t="shared" si="273"/>
        <v>0</v>
      </c>
      <c r="AQ81" s="395" t="s">
        <v>811</v>
      </c>
      <c r="AR81" s="297">
        <f t="shared" si="274"/>
        <v>0</v>
      </c>
      <c r="AS81" s="396" t="e">
        <f t="shared" si="267"/>
        <v>#DIV/0!</v>
      </c>
      <c r="AT81" s="531"/>
      <c r="AU81" s="531"/>
      <c r="AV81" s="299">
        <v>0</v>
      </c>
      <c r="AW81" s="300">
        <v>0</v>
      </c>
      <c r="AX81" s="301"/>
      <c r="BH81" s="531"/>
      <c r="BI81" s="531"/>
      <c r="BJ81" s="396" t="e">
        <f>$AS$78</f>
        <v>#DIV/0!</v>
      </c>
      <c r="BK81" s="242" t="str">
        <f t="shared" si="277"/>
        <v>C23</v>
      </c>
      <c r="BL81" s="433">
        <f>Tabla24[[#This Row],[Columna3]]/7</f>
        <v>0</v>
      </c>
      <c r="BM81" s="433">
        <f>Tabla24[[#This Row],[Columna4]]/4.2</f>
        <v>0</v>
      </c>
      <c r="BN81" s="433">
        <f t="shared" si="278"/>
        <v>0</v>
      </c>
      <c r="BO81" s="433">
        <f t="shared" si="279"/>
        <v>0</v>
      </c>
      <c r="BP81" s="433">
        <f t="shared" si="280"/>
        <v>0</v>
      </c>
      <c r="BQ81" s="433">
        <f t="shared" si="281"/>
        <v>0</v>
      </c>
      <c r="BR81" s="433">
        <f t="shared" si="282"/>
        <v>0</v>
      </c>
      <c r="BS81" s="433">
        <f t="shared" si="283"/>
        <v>0</v>
      </c>
      <c r="BT81" s="433">
        <f t="shared" si="284"/>
        <v>0</v>
      </c>
      <c r="BU81" s="433">
        <f t="shared" si="285"/>
        <v>0</v>
      </c>
      <c r="BV81" s="433">
        <f t="shared" si="286"/>
        <v>0</v>
      </c>
      <c r="BW81" s="433">
        <f t="shared" si="287"/>
        <v>0</v>
      </c>
      <c r="BX81" s="433">
        <f t="shared" si="288"/>
        <v>0</v>
      </c>
      <c r="BY81" s="433">
        <f t="shared" si="289"/>
        <v>0</v>
      </c>
      <c r="BZ81" s="433">
        <f t="shared" si="290"/>
        <v>0</v>
      </c>
      <c r="CB81" s="531"/>
      <c r="CC81" s="531"/>
      <c r="CD81" s="396" t="e">
        <f>$AS$78</f>
        <v>#DIV/0!</v>
      </c>
      <c r="CE81" s="242" t="str">
        <f>Tabla24[[#This Row],[Columna1]]</f>
        <v>C23</v>
      </c>
      <c r="CF81" s="433">
        <f>Tabla2410[[#This Row],[Columna3]]/7</f>
        <v>0</v>
      </c>
      <c r="CG81" s="433">
        <f>Tabla2410[[#This Row],[Columna4]]/4.2</f>
        <v>0</v>
      </c>
      <c r="CH81" s="433">
        <f>Tabla24[[#This Row],[Columna16]]</f>
        <v>0</v>
      </c>
      <c r="CI81" s="433" t="e">
        <f>(Tabla2410[[#This Row],[Columna4]]*CI$56/$BZ$56)*$CH$55</f>
        <v>#DIV/0!</v>
      </c>
      <c r="CJ81" s="433" t="e">
        <f>(Tabla2410[[#This Row],[Columna4]]*CJ$56/$BZ$56)*$CH$55</f>
        <v>#DIV/0!</v>
      </c>
      <c r="CK81" s="433" t="e">
        <f>(Tabla2410[[#This Row],[Columna4]]*CK$56/$BZ$56)*$CH$55</f>
        <v>#DIV/0!</v>
      </c>
      <c r="CL81" s="433" t="e">
        <f>(Tabla2410[[#This Row],[Columna4]]*CL$56/$BZ$56)*$CH$55</f>
        <v>#DIV/0!</v>
      </c>
      <c r="CM81" s="433" t="e">
        <f>(Tabla2410[[#This Row],[Columna4]]*CM$56/$BZ$56)*$CH$55</f>
        <v>#DIV/0!</v>
      </c>
      <c r="CN81" s="433" t="e">
        <f>(Tabla2410[[#This Row],[Columna4]]*CN$56/$BZ$56)*$CH$55</f>
        <v>#DIV/0!</v>
      </c>
      <c r="CO81" s="433" t="e">
        <f>(Tabla2410[[#This Row],[Columna4]]*CO$56/$BZ$56)*$CH$55</f>
        <v>#DIV/0!</v>
      </c>
      <c r="CP81" s="433" t="e">
        <f>(Tabla2410[[#This Row],[Columna4]]*CP$56/$BZ$56)*$CH$55</f>
        <v>#DIV/0!</v>
      </c>
      <c r="CQ81" s="433" t="e">
        <f>(Tabla2410[[#This Row],[Columna4]]*CQ$56/$BZ$56)*$CH$55</f>
        <v>#DIV/0!</v>
      </c>
      <c r="CR81" s="433" t="e">
        <f>(Tabla2410[[#This Row],[Columna4]]*CR$56/$BZ$56)*$CH$55</f>
        <v>#DIV/0!</v>
      </c>
      <c r="CS81" s="433" t="e">
        <f>(Tabla2410[[#This Row],[Columna4]]*CS$56/$BZ$56)*$CH$55</f>
        <v>#DIV/0!</v>
      </c>
      <c r="CT81" s="433" t="e">
        <f>(Tabla2410[[#This Row],[Columna4]]*CT$56/$BZ$56)*$CH$55</f>
        <v>#DIV/0!</v>
      </c>
      <c r="CV81" s="531"/>
      <c r="CW81" s="531"/>
      <c r="CX81" s="396" t="e">
        <f>$AS$78</f>
        <v>#DIV/0!</v>
      </c>
      <c r="CY81" s="242" t="str">
        <f>Tabla24[[#This Row],[Columna1]]</f>
        <v>C23</v>
      </c>
      <c r="CZ81" s="433" t="e">
        <f>Tabla24105[[#This Row],[Columna3]]/7</f>
        <v>#DIV/0!</v>
      </c>
      <c r="DA81" s="433" t="e">
        <f>Tabla24105[[#This Row],[Columna4]]/4.2</f>
        <v>#DIV/0!</v>
      </c>
      <c r="DB81" s="433" t="e">
        <f>Tabla2410[[#This Row],[Columna16]]</f>
        <v>#DIV/0!</v>
      </c>
      <c r="DC81" s="433" t="e">
        <f>(Tabla24105[[#This Row],[Columna4]]*DC$56/$CT$56)*$DB$55</f>
        <v>#DIV/0!</v>
      </c>
      <c r="DD81" s="433" t="e">
        <f>(Tabla24105[[#This Row],[Columna4]]*DD$56/$CT$56)*$DB$55</f>
        <v>#DIV/0!</v>
      </c>
      <c r="DE81" s="433" t="e">
        <f>(Tabla24105[[#This Row],[Columna4]]*DE$56/$CT$56)*$DB$55</f>
        <v>#DIV/0!</v>
      </c>
      <c r="DF81" s="433" t="e">
        <f>(Tabla24105[[#This Row],[Columna4]]*DF$56/$CT$56)*$DB$55</f>
        <v>#DIV/0!</v>
      </c>
      <c r="DG81" s="433" t="e">
        <f>(Tabla24105[[#This Row],[Columna4]]*DG$56/$CT$56)*$DB$55</f>
        <v>#DIV/0!</v>
      </c>
      <c r="DH81" s="433" t="e">
        <f>(Tabla24105[[#This Row],[Columna4]]*DH$56/$CT$56)*$DB$55</f>
        <v>#DIV/0!</v>
      </c>
      <c r="DI81" s="433" t="e">
        <f>(Tabla24105[[#This Row],[Columna4]]*DI$56/$CT$56)*$DB$55</f>
        <v>#DIV/0!</v>
      </c>
      <c r="DJ81" s="433" t="e">
        <f>(Tabla24105[[#This Row],[Columna4]]*DJ$56/$CT$56)*$DB$55</f>
        <v>#DIV/0!</v>
      </c>
      <c r="DK81" s="433" t="e">
        <f>(Tabla24105[[#This Row],[Columna4]]*DK$56/$CT$56)*$DB$55</f>
        <v>#DIV/0!</v>
      </c>
      <c r="DL81" s="433" t="e">
        <f>(Tabla24105[[#This Row],[Columna4]]*DL$56/$CT$56)*$DB$55</f>
        <v>#DIV/0!</v>
      </c>
      <c r="DM81" s="433" t="e">
        <f>(Tabla24105[[#This Row],[Columna4]]*DM$56/$CT$56)*$DB$55</f>
        <v>#DIV/0!</v>
      </c>
      <c r="DN81" s="433" t="e">
        <f>(Tabla24105[[#This Row],[Columna4]]*DN$56/$CT$56)*$DB$55</f>
        <v>#DIV/0!</v>
      </c>
      <c r="DP81" s="531"/>
      <c r="DQ81" s="531"/>
      <c r="DR81" s="396" t="e">
        <f>$AS$78</f>
        <v>#DIV/0!</v>
      </c>
      <c r="DS81" s="242" t="str">
        <f>Tabla24[[#This Row],[Columna1]]</f>
        <v>C23</v>
      </c>
      <c r="DT81" s="433" t="e">
        <f>Tabla241057[[#This Row],[Columna3]]/7</f>
        <v>#DIV/0!</v>
      </c>
      <c r="DU81" s="433" t="e">
        <f>Tabla241057[[#This Row],[Columna4]]/4.2</f>
        <v>#DIV/0!</v>
      </c>
      <c r="DV81" s="433" t="e">
        <f>Tabla24105[[#This Row],[Columna16]]</f>
        <v>#DIV/0!</v>
      </c>
      <c r="DW81" s="433" t="e">
        <f>(Tabla241057[[#This Row],[Columna4]]*DW$56/$DN$56)*$DV$55</f>
        <v>#DIV/0!</v>
      </c>
      <c r="DX81" s="433" t="e">
        <f>(Tabla241057[[#This Row],[Columna4]]*DX$56/$DN$56)*$DV$55</f>
        <v>#DIV/0!</v>
      </c>
      <c r="DY81" s="433" t="e">
        <f>(Tabla241057[[#This Row],[Columna4]]*DY$56/$DN$56)*$DV$55</f>
        <v>#DIV/0!</v>
      </c>
      <c r="DZ81" s="433" t="e">
        <f>(Tabla241057[[#This Row],[Columna4]]*DZ$56/$DN$56)*$DV$55</f>
        <v>#DIV/0!</v>
      </c>
      <c r="EA81" s="433" t="e">
        <f>(Tabla241057[[#This Row],[Columna4]]*EA$56/$DN$56)*$DV$55</f>
        <v>#DIV/0!</v>
      </c>
      <c r="EB81" s="433" t="e">
        <f>(Tabla241057[[#This Row],[Columna4]]*EB$56/$DN$56)*$DV$55</f>
        <v>#DIV/0!</v>
      </c>
      <c r="EC81" s="433" t="e">
        <f>(Tabla241057[[#This Row],[Columna4]]*EC$56/$DN$56)*$DV$55</f>
        <v>#DIV/0!</v>
      </c>
      <c r="ED81" s="433" t="e">
        <f>(Tabla241057[[#This Row],[Columna4]]*ED$56/$DN$56)*$DV$55</f>
        <v>#DIV/0!</v>
      </c>
      <c r="EE81" s="433" t="e">
        <f>(Tabla241057[[#This Row],[Columna4]]*EE$56/$DN$56)*$DV$55</f>
        <v>#DIV/0!</v>
      </c>
      <c r="EF81" s="433" t="e">
        <f>(Tabla241057[[#This Row],[Columna4]]*EF$56/$DN$56)*$DV$55</f>
        <v>#DIV/0!</v>
      </c>
      <c r="EG81" s="433" t="e">
        <f>(Tabla241057[[#This Row],[Columna4]]*EG$56/$DN$56)*$DV$55</f>
        <v>#DIV/0!</v>
      </c>
      <c r="EH81" s="433" t="e">
        <f>(Tabla241057[[#This Row],[Columna4]]*EH$56/$DN$56)*$DV$55</f>
        <v>#DIV/0!</v>
      </c>
      <c r="EJ81" s="531"/>
      <c r="EK81" s="531"/>
      <c r="EL81" s="396" t="e">
        <f>$AS$78</f>
        <v>#DIV/0!</v>
      </c>
      <c r="EM81" s="242" t="str">
        <f>Tabla24[[#This Row],[Columna1]]</f>
        <v>C23</v>
      </c>
      <c r="EN81" s="433" t="e">
        <f>Tabla24105711[[#This Row],[Columna3]]/7</f>
        <v>#DIV/0!</v>
      </c>
      <c r="EO81" s="433" t="e">
        <f>Tabla24105711[[#This Row],[Columna4]]/4.2</f>
        <v>#DIV/0!</v>
      </c>
      <c r="EP81" s="433" t="e">
        <f>Tabla241057[[#This Row],[Columna16]]</f>
        <v>#DIV/0!</v>
      </c>
      <c r="EQ81" s="433" t="e">
        <f>(Tabla24105711[[#This Row],[Columna4]]*EQ$56/$EH$56)*$EP$55</f>
        <v>#DIV/0!</v>
      </c>
      <c r="ER81" s="433" t="e">
        <f>(Tabla24105711[[#This Row],[Columna4]]*ER$56/$EH$56)*$EP$55</f>
        <v>#DIV/0!</v>
      </c>
      <c r="ES81" s="433" t="e">
        <f>(Tabla24105711[[#This Row],[Columna4]]*ES$56/$EH$56)*$EP$55</f>
        <v>#DIV/0!</v>
      </c>
      <c r="ET81" s="433" t="e">
        <f>(Tabla24105711[[#This Row],[Columna4]]*ET$56/$EH$56)*$EP$55</f>
        <v>#DIV/0!</v>
      </c>
      <c r="EU81" s="433" t="e">
        <f>(Tabla24105711[[#This Row],[Columna4]]*EU$56/$EH$56)*$EP$55</f>
        <v>#DIV/0!</v>
      </c>
      <c r="EV81" s="433" t="e">
        <f>(Tabla24105711[[#This Row],[Columna4]]*EV$56/$EH$56)*$EP$55</f>
        <v>#DIV/0!</v>
      </c>
      <c r="EW81" s="433" t="e">
        <f>(Tabla24105711[[#This Row],[Columna4]]*EW$56/$EH$56)*$EP$55</f>
        <v>#DIV/0!</v>
      </c>
      <c r="EX81" s="433" t="e">
        <f>(Tabla24105711[[#This Row],[Columna4]]*EX$56/$EH$56)*$EP$55</f>
        <v>#DIV/0!</v>
      </c>
      <c r="EY81" s="433" t="e">
        <f>(Tabla24105711[[#This Row],[Columna4]]*EY$56/$EH$56)*$EP$55</f>
        <v>#DIV/0!</v>
      </c>
      <c r="EZ81" s="433" t="e">
        <f>(Tabla24105711[[#This Row],[Columna4]]*EZ$56/$EH$56)*$EP$55</f>
        <v>#DIV/0!</v>
      </c>
      <c r="FA81" s="433" t="e">
        <f>(Tabla24105711[[#This Row],[Columna4]]*FA$56/$EH$56)*$EP$55</f>
        <v>#DIV/0!</v>
      </c>
      <c r="FB81" s="433" t="e">
        <f>(Tabla24105711[[#This Row],[Columna4]]*FB$56/$EH$56)*$EP$55</f>
        <v>#DIV/0!</v>
      </c>
      <c r="FD81" s="397" t="s">
        <v>117</v>
      </c>
      <c r="FE81" s="399" t="s">
        <v>114</v>
      </c>
      <c r="FF81" s="400">
        <f t="shared" ref="FF81:FQ83" si="307">+FF256/FF$376</f>
        <v>0</v>
      </c>
      <c r="FG81" s="400">
        <f t="shared" si="307"/>
        <v>0</v>
      </c>
      <c r="FH81" s="400">
        <f t="shared" si="307"/>
        <v>0</v>
      </c>
      <c r="FI81" s="400">
        <f t="shared" si="307"/>
        <v>0</v>
      </c>
      <c r="FJ81" s="400">
        <f t="shared" si="307"/>
        <v>0</v>
      </c>
      <c r="FK81" s="400">
        <f t="shared" si="307"/>
        <v>0</v>
      </c>
      <c r="FL81" s="400">
        <f t="shared" si="307"/>
        <v>0</v>
      </c>
      <c r="FM81" s="400">
        <f t="shared" si="307"/>
        <v>0</v>
      </c>
      <c r="FN81" s="400">
        <f t="shared" si="307"/>
        <v>0</v>
      </c>
      <c r="FO81" s="400">
        <f t="shared" si="307"/>
        <v>0</v>
      </c>
      <c r="FP81" s="400">
        <f t="shared" si="307"/>
        <v>0</v>
      </c>
      <c r="FQ81" s="400">
        <f t="shared" si="307"/>
        <v>0</v>
      </c>
      <c r="FR81" s="363">
        <f t="shared" si="197"/>
        <v>0</v>
      </c>
      <c r="FS81" s="260" t="e">
        <f t="shared" si="198"/>
        <v>#DIV/0!</v>
      </c>
      <c r="FV81" s="357" t="s">
        <v>439</v>
      </c>
      <c r="FW81" s="366">
        <f>FW50</f>
        <v>0</v>
      </c>
      <c r="FX81" s="366">
        <f t="shared" ref="FX81:GH81" si="308">FX50</f>
        <v>0</v>
      </c>
      <c r="FY81" s="366">
        <f t="shared" si="308"/>
        <v>0</v>
      </c>
      <c r="FZ81" s="366">
        <f t="shared" si="308"/>
        <v>0</v>
      </c>
      <c r="GA81" s="366">
        <f t="shared" si="308"/>
        <v>0</v>
      </c>
      <c r="GB81" s="366">
        <f t="shared" si="308"/>
        <v>0</v>
      </c>
      <c r="GC81" s="366">
        <f t="shared" si="308"/>
        <v>0</v>
      </c>
      <c r="GD81" s="366">
        <f t="shared" si="308"/>
        <v>0</v>
      </c>
      <c r="GE81" s="366">
        <f t="shared" si="308"/>
        <v>0</v>
      </c>
      <c r="GF81" s="366">
        <f t="shared" si="308"/>
        <v>0</v>
      </c>
      <c r="GG81" s="366">
        <f t="shared" si="308"/>
        <v>0</v>
      </c>
      <c r="GH81" s="366">
        <f t="shared" si="308"/>
        <v>0</v>
      </c>
      <c r="GI81" s="309">
        <f t="shared" ref="GI81" si="309">SUM(FW81:GH81)</f>
        <v>0</v>
      </c>
      <c r="GJ81" s="262" t="e">
        <f>GI81/$GI$6</f>
        <v>#DIV/0!</v>
      </c>
      <c r="HD81" s="197" t="s">
        <v>552</v>
      </c>
      <c r="HE81" s="196"/>
      <c r="HF81" s="62">
        <f>SUM(HF82:HF86)</f>
        <v>0</v>
      </c>
      <c r="HG81" s="196"/>
      <c r="HH81" s="196"/>
      <c r="HI81" s="51"/>
      <c r="HJ81" s="143"/>
      <c r="HM81" s="283"/>
      <c r="HN81" s="283"/>
      <c r="HO81" s="285"/>
      <c r="HP81" s="283"/>
      <c r="HQ81" s="286"/>
      <c r="HR81" s="283"/>
      <c r="HS81" s="286"/>
      <c r="HT81" s="283"/>
      <c r="HU81" s="286"/>
      <c r="HV81" s="283"/>
      <c r="HW81" s="286"/>
      <c r="HX81" s="283"/>
      <c r="HY81" s="286"/>
      <c r="HZ81" s="283"/>
      <c r="IA81" s="286"/>
      <c r="IB81" s="283"/>
      <c r="IC81" s="286"/>
      <c r="ID81" s="283"/>
      <c r="IE81" s="286"/>
      <c r="IF81" s="283"/>
      <c r="IG81" s="286"/>
      <c r="IH81" s="283"/>
      <c r="II81" s="286"/>
      <c r="IJ81" s="283"/>
      <c r="IK81" s="286"/>
      <c r="IL81" s="283"/>
      <c r="IM81" s="288"/>
    </row>
    <row r="82" spans="39:247" ht="14.4" customHeight="1" x14ac:dyDescent="0.3">
      <c r="AM82" s="412">
        <f t="shared" si="270"/>
        <v>0</v>
      </c>
      <c r="AN82" s="412">
        <f t="shared" si="271"/>
        <v>0</v>
      </c>
      <c r="AO82" s="412">
        <f t="shared" si="272"/>
        <v>0</v>
      </c>
      <c r="AP82" s="412">
        <f t="shared" si="273"/>
        <v>0</v>
      </c>
      <c r="AQ82" s="413" t="s">
        <v>813</v>
      </c>
      <c r="AR82" s="297">
        <f t="shared" si="274"/>
        <v>0</v>
      </c>
      <c r="AS82" s="414" t="e">
        <f t="shared" si="267"/>
        <v>#DIV/0!</v>
      </c>
      <c r="AT82" s="529" t="e">
        <f>SUM(AS82:AS98)</f>
        <v>#DIV/0!</v>
      </c>
      <c r="AU82" s="529" t="s">
        <v>335</v>
      </c>
      <c r="AV82" s="299">
        <v>0</v>
      </c>
      <c r="AW82" s="300">
        <v>0</v>
      </c>
      <c r="AX82" s="301"/>
      <c r="BH82" s="531"/>
      <c r="BI82" s="531"/>
      <c r="BJ82" s="396" t="e">
        <f>$AS$79</f>
        <v>#DIV/0!</v>
      </c>
      <c r="BK82" s="242" t="str">
        <f t="shared" si="277"/>
        <v>C24</v>
      </c>
      <c r="BL82" s="433">
        <f>Tabla24[[#This Row],[Columna3]]/7</f>
        <v>0</v>
      </c>
      <c r="BM82" s="433">
        <f>Tabla24[[#This Row],[Columna4]]/4.2</f>
        <v>0</v>
      </c>
      <c r="BN82" s="433">
        <f t="shared" si="278"/>
        <v>0</v>
      </c>
      <c r="BO82" s="433">
        <f t="shared" si="279"/>
        <v>0</v>
      </c>
      <c r="BP82" s="433">
        <f t="shared" si="280"/>
        <v>0</v>
      </c>
      <c r="BQ82" s="433">
        <f t="shared" si="281"/>
        <v>0</v>
      </c>
      <c r="BR82" s="433">
        <f t="shared" si="282"/>
        <v>0</v>
      </c>
      <c r="BS82" s="433">
        <f t="shared" si="283"/>
        <v>0</v>
      </c>
      <c r="BT82" s="433">
        <f t="shared" si="284"/>
        <v>0</v>
      </c>
      <c r="BU82" s="433">
        <f t="shared" si="285"/>
        <v>0</v>
      </c>
      <c r="BV82" s="433">
        <f t="shared" si="286"/>
        <v>0</v>
      </c>
      <c r="BW82" s="433">
        <f t="shared" si="287"/>
        <v>0</v>
      </c>
      <c r="BX82" s="433">
        <f t="shared" si="288"/>
        <v>0</v>
      </c>
      <c r="BY82" s="433">
        <f t="shared" si="289"/>
        <v>0</v>
      </c>
      <c r="BZ82" s="433">
        <f t="shared" si="290"/>
        <v>0</v>
      </c>
      <c r="CB82" s="531"/>
      <c r="CC82" s="531"/>
      <c r="CD82" s="396" t="e">
        <f>$AS$79</f>
        <v>#DIV/0!</v>
      </c>
      <c r="CE82" s="242" t="str">
        <f>Tabla24[[#This Row],[Columna1]]</f>
        <v>C24</v>
      </c>
      <c r="CF82" s="433">
        <f>Tabla2410[[#This Row],[Columna3]]/7</f>
        <v>0</v>
      </c>
      <c r="CG82" s="433">
        <f>Tabla2410[[#This Row],[Columna4]]/4.2</f>
        <v>0</v>
      </c>
      <c r="CH82" s="433">
        <f>Tabla24[[#This Row],[Columna16]]</f>
        <v>0</v>
      </c>
      <c r="CI82" s="433" t="e">
        <f>(Tabla2410[[#This Row],[Columna4]]*CI$56/$BZ$56)*$CH$55</f>
        <v>#DIV/0!</v>
      </c>
      <c r="CJ82" s="433" t="e">
        <f>(Tabla2410[[#This Row],[Columna4]]*CJ$56/$BZ$56)*$CH$55</f>
        <v>#DIV/0!</v>
      </c>
      <c r="CK82" s="433" t="e">
        <f>(Tabla2410[[#This Row],[Columna4]]*CK$56/$BZ$56)*$CH$55</f>
        <v>#DIV/0!</v>
      </c>
      <c r="CL82" s="433" t="e">
        <f>(Tabla2410[[#This Row],[Columna4]]*CL$56/$BZ$56)*$CH$55</f>
        <v>#DIV/0!</v>
      </c>
      <c r="CM82" s="433" t="e">
        <f>(Tabla2410[[#This Row],[Columna4]]*CM$56/$BZ$56)*$CH$55</f>
        <v>#DIV/0!</v>
      </c>
      <c r="CN82" s="433" t="e">
        <f>(Tabla2410[[#This Row],[Columna4]]*CN$56/$BZ$56)*$CH$55</f>
        <v>#DIV/0!</v>
      </c>
      <c r="CO82" s="433" t="e">
        <f>(Tabla2410[[#This Row],[Columna4]]*CO$56/$BZ$56)*$CH$55</f>
        <v>#DIV/0!</v>
      </c>
      <c r="CP82" s="433" t="e">
        <f>(Tabla2410[[#This Row],[Columna4]]*CP$56/$BZ$56)*$CH$55</f>
        <v>#DIV/0!</v>
      </c>
      <c r="CQ82" s="433" t="e">
        <f>(Tabla2410[[#This Row],[Columna4]]*CQ$56/$BZ$56)*$CH$55</f>
        <v>#DIV/0!</v>
      </c>
      <c r="CR82" s="433" t="e">
        <f>(Tabla2410[[#This Row],[Columna4]]*CR$56/$BZ$56)*$CH$55</f>
        <v>#DIV/0!</v>
      </c>
      <c r="CS82" s="433" t="e">
        <f>(Tabla2410[[#This Row],[Columna4]]*CS$56/$BZ$56)*$CH$55</f>
        <v>#DIV/0!</v>
      </c>
      <c r="CT82" s="433" t="e">
        <f>(Tabla2410[[#This Row],[Columna4]]*CT$56/$BZ$56)*$CH$55</f>
        <v>#DIV/0!</v>
      </c>
      <c r="CV82" s="531"/>
      <c r="CW82" s="531"/>
      <c r="CX82" s="396" t="e">
        <f>$AS$79</f>
        <v>#DIV/0!</v>
      </c>
      <c r="CY82" s="242" t="str">
        <f>Tabla24[[#This Row],[Columna1]]</f>
        <v>C24</v>
      </c>
      <c r="CZ82" s="433" t="e">
        <f>Tabla24105[[#This Row],[Columna3]]/7</f>
        <v>#DIV/0!</v>
      </c>
      <c r="DA82" s="433" t="e">
        <f>Tabla24105[[#This Row],[Columna4]]/4.2</f>
        <v>#DIV/0!</v>
      </c>
      <c r="DB82" s="433" t="e">
        <f>Tabla2410[[#This Row],[Columna16]]</f>
        <v>#DIV/0!</v>
      </c>
      <c r="DC82" s="433" t="e">
        <f>(Tabla24105[[#This Row],[Columna4]]*DC$56/$CT$56)*$DB$55</f>
        <v>#DIV/0!</v>
      </c>
      <c r="DD82" s="433" t="e">
        <f>(Tabla24105[[#This Row],[Columna4]]*DD$56/$CT$56)*$DB$55</f>
        <v>#DIV/0!</v>
      </c>
      <c r="DE82" s="433" t="e">
        <f>(Tabla24105[[#This Row],[Columna4]]*DE$56/$CT$56)*$DB$55</f>
        <v>#DIV/0!</v>
      </c>
      <c r="DF82" s="433" t="e">
        <f>(Tabla24105[[#This Row],[Columna4]]*DF$56/$CT$56)*$DB$55</f>
        <v>#DIV/0!</v>
      </c>
      <c r="DG82" s="433" t="e">
        <f>(Tabla24105[[#This Row],[Columna4]]*DG$56/$CT$56)*$DB$55</f>
        <v>#DIV/0!</v>
      </c>
      <c r="DH82" s="433" t="e">
        <f>(Tabla24105[[#This Row],[Columna4]]*DH$56/$CT$56)*$DB$55</f>
        <v>#DIV/0!</v>
      </c>
      <c r="DI82" s="433" t="e">
        <f>(Tabla24105[[#This Row],[Columna4]]*DI$56/$CT$56)*$DB$55</f>
        <v>#DIV/0!</v>
      </c>
      <c r="DJ82" s="433" t="e">
        <f>(Tabla24105[[#This Row],[Columna4]]*DJ$56/$CT$56)*$DB$55</f>
        <v>#DIV/0!</v>
      </c>
      <c r="DK82" s="433" t="e">
        <f>(Tabla24105[[#This Row],[Columna4]]*DK$56/$CT$56)*$DB$55</f>
        <v>#DIV/0!</v>
      </c>
      <c r="DL82" s="433" t="e">
        <f>(Tabla24105[[#This Row],[Columna4]]*DL$56/$CT$56)*$DB$55</f>
        <v>#DIV/0!</v>
      </c>
      <c r="DM82" s="433" t="e">
        <f>(Tabla24105[[#This Row],[Columna4]]*DM$56/$CT$56)*$DB$55</f>
        <v>#DIV/0!</v>
      </c>
      <c r="DN82" s="433" t="e">
        <f>(Tabla24105[[#This Row],[Columna4]]*DN$56/$CT$56)*$DB$55</f>
        <v>#DIV/0!</v>
      </c>
      <c r="DP82" s="531"/>
      <c r="DQ82" s="531"/>
      <c r="DR82" s="396" t="e">
        <f>$AS$79</f>
        <v>#DIV/0!</v>
      </c>
      <c r="DS82" s="242" t="str">
        <f>Tabla24[[#This Row],[Columna1]]</f>
        <v>C24</v>
      </c>
      <c r="DT82" s="433" t="e">
        <f>Tabla241057[[#This Row],[Columna3]]/7</f>
        <v>#DIV/0!</v>
      </c>
      <c r="DU82" s="433" t="e">
        <f>Tabla241057[[#This Row],[Columna4]]/4.2</f>
        <v>#DIV/0!</v>
      </c>
      <c r="DV82" s="433" t="e">
        <f>Tabla24105[[#This Row],[Columna16]]</f>
        <v>#DIV/0!</v>
      </c>
      <c r="DW82" s="433" t="e">
        <f>(Tabla241057[[#This Row],[Columna4]]*DW$56/$DN$56)*$DV$55</f>
        <v>#DIV/0!</v>
      </c>
      <c r="DX82" s="433" t="e">
        <f>(Tabla241057[[#This Row],[Columna4]]*DX$56/$DN$56)*$DV$55</f>
        <v>#DIV/0!</v>
      </c>
      <c r="DY82" s="433" t="e">
        <f>(Tabla241057[[#This Row],[Columna4]]*DY$56/$DN$56)*$DV$55</f>
        <v>#DIV/0!</v>
      </c>
      <c r="DZ82" s="433" t="e">
        <f>(Tabla241057[[#This Row],[Columna4]]*DZ$56/$DN$56)*$DV$55</f>
        <v>#DIV/0!</v>
      </c>
      <c r="EA82" s="433" t="e">
        <f>(Tabla241057[[#This Row],[Columna4]]*EA$56/$DN$56)*$DV$55</f>
        <v>#DIV/0!</v>
      </c>
      <c r="EB82" s="433" t="e">
        <f>(Tabla241057[[#This Row],[Columna4]]*EB$56/$DN$56)*$DV$55</f>
        <v>#DIV/0!</v>
      </c>
      <c r="EC82" s="433" t="e">
        <f>(Tabla241057[[#This Row],[Columna4]]*EC$56/$DN$56)*$DV$55</f>
        <v>#DIV/0!</v>
      </c>
      <c r="ED82" s="433" t="e">
        <f>(Tabla241057[[#This Row],[Columna4]]*ED$56/$DN$56)*$DV$55</f>
        <v>#DIV/0!</v>
      </c>
      <c r="EE82" s="433" t="e">
        <f>(Tabla241057[[#This Row],[Columna4]]*EE$56/$DN$56)*$DV$55</f>
        <v>#DIV/0!</v>
      </c>
      <c r="EF82" s="433" t="e">
        <f>(Tabla241057[[#This Row],[Columna4]]*EF$56/$DN$56)*$DV$55</f>
        <v>#DIV/0!</v>
      </c>
      <c r="EG82" s="433" t="e">
        <f>(Tabla241057[[#This Row],[Columna4]]*EG$56/$DN$56)*$DV$55</f>
        <v>#DIV/0!</v>
      </c>
      <c r="EH82" s="433" t="e">
        <f>(Tabla241057[[#This Row],[Columna4]]*EH$56/$DN$56)*$DV$55</f>
        <v>#DIV/0!</v>
      </c>
      <c r="EJ82" s="531"/>
      <c r="EK82" s="531"/>
      <c r="EL82" s="396" t="e">
        <f>$AS$79</f>
        <v>#DIV/0!</v>
      </c>
      <c r="EM82" s="242" t="str">
        <f>Tabla24[[#This Row],[Columna1]]</f>
        <v>C24</v>
      </c>
      <c r="EN82" s="433" t="e">
        <f>Tabla24105711[[#This Row],[Columna3]]/7</f>
        <v>#DIV/0!</v>
      </c>
      <c r="EO82" s="433" t="e">
        <f>Tabla24105711[[#This Row],[Columna4]]/4.2</f>
        <v>#DIV/0!</v>
      </c>
      <c r="EP82" s="433" t="e">
        <f>Tabla241057[[#This Row],[Columna16]]</f>
        <v>#DIV/0!</v>
      </c>
      <c r="EQ82" s="433" t="e">
        <f>(Tabla24105711[[#This Row],[Columna4]]*EQ$56/$EH$56)*$EP$55</f>
        <v>#DIV/0!</v>
      </c>
      <c r="ER82" s="433" t="e">
        <f>(Tabla24105711[[#This Row],[Columna4]]*ER$56/$EH$56)*$EP$55</f>
        <v>#DIV/0!</v>
      </c>
      <c r="ES82" s="433" t="e">
        <f>(Tabla24105711[[#This Row],[Columna4]]*ES$56/$EH$56)*$EP$55</f>
        <v>#DIV/0!</v>
      </c>
      <c r="ET82" s="433" t="e">
        <f>(Tabla24105711[[#This Row],[Columna4]]*ET$56/$EH$56)*$EP$55</f>
        <v>#DIV/0!</v>
      </c>
      <c r="EU82" s="433" t="e">
        <f>(Tabla24105711[[#This Row],[Columna4]]*EU$56/$EH$56)*$EP$55</f>
        <v>#DIV/0!</v>
      </c>
      <c r="EV82" s="433" t="e">
        <f>(Tabla24105711[[#This Row],[Columna4]]*EV$56/$EH$56)*$EP$55</f>
        <v>#DIV/0!</v>
      </c>
      <c r="EW82" s="433" t="e">
        <f>(Tabla24105711[[#This Row],[Columna4]]*EW$56/$EH$56)*$EP$55</f>
        <v>#DIV/0!</v>
      </c>
      <c r="EX82" s="433" t="e">
        <f>(Tabla24105711[[#This Row],[Columna4]]*EX$56/$EH$56)*$EP$55</f>
        <v>#DIV/0!</v>
      </c>
      <c r="EY82" s="433" t="e">
        <f>(Tabla24105711[[#This Row],[Columna4]]*EY$56/$EH$56)*$EP$55</f>
        <v>#DIV/0!</v>
      </c>
      <c r="EZ82" s="433" t="e">
        <f>(Tabla24105711[[#This Row],[Columna4]]*EZ$56/$EH$56)*$EP$55</f>
        <v>#DIV/0!</v>
      </c>
      <c r="FA82" s="433" t="e">
        <f>(Tabla24105711[[#This Row],[Columna4]]*FA$56/$EH$56)*$EP$55</f>
        <v>#DIV/0!</v>
      </c>
      <c r="FB82" s="433" t="e">
        <f>(Tabla24105711[[#This Row],[Columna4]]*FB$56/$EH$56)*$EP$55</f>
        <v>#DIV/0!</v>
      </c>
      <c r="FD82" s="429" t="s">
        <v>118</v>
      </c>
      <c r="FE82" s="399" t="s">
        <v>116</v>
      </c>
      <c r="FF82" s="434">
        <f t="shared" si="307"/>
        <v>0</v>
      </c>
      <c r="FG82" s="434">
        <f t="shared" si="307"/>
        <v>0</v>
      </c>
      <c r="FH82" s="434">
        <f t="shared" si="307"/>
        <v>0</v>
      </c>
      <c r="FI82" s="434">
        <f t="shared" si="307"/>
        <v>0</v>
      </c>
      <c r="FJ82" s="434">
        <f t="shared" si="307"/>
        <v>0</v>
      </c>
      <c r="FK82" s="434">
        <f t="shared" si="307"/>
        <v>0</v>
      </c>
      <c r="FL82" s="434">
        <f t="shared" si="307"/>
        <v>0</v>
      </c>
      <c r="FM82" s="434">
        <f t="shared" si="307"/>
        <v>0</v>
      </c>
      <c r="FN82" s="434">
        <f t="shared" si="307"/>
        <v>0</v>
      </c>
      <c r="FO82" s="434">
        <f t="shared" si="307"/>
        <v>0</v>
      </c>
      <c r="FP82" s="434">
        <f t="shared" si="307"/>
        <v>0</v>
      </c>
      <c r="FQ82" s="434">
        <f t="shared" si="307"/>
        <v>0</v>
      </c>
      <c r="FR82" s="363">
        <f t="shared" si="197"/>
        <v>0</v>
      </c>
      <c r="FS82" s="260" t="e">
        <f t="shared" si="198"/>
        <v>#DIV/0!</v>
      </c>
      <c r="FV82" s="361"/>
      <c r="FW82" s="362"/>
      <c r="FX82" s="362"/>
      <c r="FY82" s="362"/>
      <c r="FZ82" s="362"/>
      <c r="GA82" s="362"/>
      <c r="GB82" s="362"/>
      <c r="GC82" s="362"/>
      <c r="GD82" s="362"/>
      <c r="GE82" s="362"/>
      <c r="GF82" s="362"/>
      <c r="GG82" s="362"/>
      <c r="GH82" s="362"/>
      <c r="GI82" s="362"/>
      <c r="GJ82" s="365"/>
      <c r="HD82" s="65" t="s">
        <v>553</v>
      </c>
      <c r="HE82" s="66">
        <v>0</v>
      </c>
      <c r="HF82" s="67">
        <f t="shared" ref="HF82:HF86" si="310">HE82*HG82</f>
        <v>0</v>
      </c>
      <c r="HG82" s="68">
        <f t="shared" ref="HG82:HG86" si="311">HI82*HH82</f>
        <v>0</v>
      </c>
      <c r="HH82" s="69">
        <v>1</v>
      </c>
      <c r="HI82" s="367">
        <v>0</v>
      </c>
      <c r="HJ82" s="143"/>
      <c r="HM82" s="283"/>
      <c r="HN82" s="283"/>
      <c r="HO82" s="285"/>
      <c r="HP82" s="283"/>
      <c r="HQ82" s="286"/>
      <c r="HR82" s="283"/>
      <c r="HS82" s="286"/>
      <c r="HT82" s="283"/>
      <c r="HU82" s="286"/>
      <c r="HV82" s="283"/>
      <c r="HW82" s="286"/>
      <c r="HX82" s="283"/>
      <c r="HY82" s="286"/>
      <c r="HZ82" s="283"/>
      <c r="IA82" s="286"/>
      <c r="IB82" s="283"/>
      <c r="IC82" s="286"/>
      <c r="ID82" s="283"/>
      <c r="IE82" s="286"/>
      <c r="IF82" s="283"/>
      <c r="IG82" s="286"/>
      <c r="IH82" s="283"/>
      <c r="II82" s="286"/>
      <c r="IJ82" s="283"/>
      <c r="IK82" s="286"/>
      <c r="IL82" s="283"/>
      <c r="IM82" s="288"/>
    </row>
    <row r="83" spans="39:247" ht="14.4" customHeight="1" x14ac:dyDescent="0.3">
      <c r="AM83" s="412">
        <f t="shared" si="270"/>
        <v>0</v>
      </c>
      <c r="AN83" s="412">
        <f t="shared" si="271"/>
        <v>0</v>
      </c>
      <c r="AO83" s="412">
        <f t="shared" si="272"/>
        <v>0</v>
      </c>
      <c r="AP83" s="412">
        <f t="shared" si="273"/>
        <v>0</v>
      </c>
      <c r="AQ83" s="413" t="s">
        <v>815</v>
      </c>
      <c r="AR83" s="297">
        <f t="shared" si="274"/>
        <v>0</v>
      </c>
      <c r="AS83" s="414" t="e">
        <f t="shared" si="267"/>
        <v>#DIV/0!</v>
      </c>
      <c r="AT83" s="529"/>
      <c r="AU83" s="529"/>
      <c r="AV83" s="299">
        <v>0</v>
      </c>
      <c r="AW83" s="300">
        <v>0</v>
      </c>
      <c r="AX83" s="301"/>
      <c r="BH83" s="531"/>
      <c r="BI83" s="531"/>
      <c r="BJ83" s="396" t="e">
        <f>$AS$80</f>
        <v>#DIV/0!</v>
      </c>
      <c r="BK83" s="242" t="str">
        <f t="shared" si="277"/>
        <v>C25</v>
      </c>
      <c r="BL83" s="433">
        <f>Tabla24[[#This Row],[Columna3]]/7</f>
        <v>0</v>
      </c>
      <c r="BM83" s="433">
        <f>Tabla24[[#This Row],[Columna4]]/4.2</f>
        <v>0</v>
      </c>
      <c r="BN83" s="433">
        <f t="shared" si="278"/>
        <v>0</v>
      </c>
      <c r="BO83" s="433">
        <f t="shared" si="279"/>
        <v>0</v>
      </c>
      <c r="BP83" s="433">
        <f t="shared" si="280"/>
        <v>0</v>
      </c>
      <c r="BQ83" s="433">
        <f t="shared" si="281"/>
        <v>0</v>
      </c>
      <c r="BR83" s="433">
        <f t="shared" si="282"/>
        <v>0</v>
      </c>
      <c r="BS83" s="433">
        <f t="shared" si="283"/>
        <v>0</v>
      </c>
      <c r="BT83" s="433">
        <f t="shared" si="284"/>
        <v>0</v>
      </c>
      <c r="BU83" s="433">
        <f t="shared" si="285"/>
        <v>0</v>
      </c>
      <c r="BV83" s="433">
        <f t="shared" si="286"/>
        <v>0</v>
      </c>
      <c r="BW83" s="433">
        <f t="shared" si="287"/>
        <v>0</v>
      </c>
      <c r="BX83" s="433">
        <f t="shared" si="288"/>
        <v>0</v>
      </c>
      <c r="BY83" s="433">
        <f t="shared" si="289"/>
        <v>0</v>
      </c>
      <c r="BZ83" s="433">
        <f t="shared" si="290"/>
        <v>0</v>
      </c>
      <c r="CB83" s="531"/>
      <c r="CC83" s="531"/>
      <c r="CD83" s="396" t="e">
        <f>$AS$80</f>
        <v>#DIV/0!</v>
      </c>
      <c r="CE83" s="242" t="str">
        <f>Tabla24[[#This Row],[Columna1]]</f>
        <v>C25</v>
      </c>
      <c r="CF83" s="433">
        <f>Tabla2410[[#This Row],[Columna3]]/7</f>
        <v>0</v>
      </c>
      <c r="CG83" s="433">
        <f>Tabla2410[[#This Row],[Columna4]]/4.2</f>
        <v>0</v>
      </c>
      <c r="CH83" s="433">
        <f>Tabla24[[#This Row],[Columna16]]</f>
        <v>0</v>
      </c>
      <c r="CI83" s="433" t="e">
        <f>(Tabla2410[[#This Row],[Columna4]]*CI$56/$BZ$56)*$CH$55</f>
        <v>#DIV/0!</v>
      </c>
      <c r="CJ83" s="433" t="e">
        <f>(Tabla2410[[#This Row],[Columna4]]*CJ$56/$BZ$56)*$CH$55</f>
        <v>#DIV/0!</v>
      </c>
      <c r="CK83" s="433" t="e">
        <f>(Tabla2410[[#This Row],[Columna4]]*CK$56/$BZ$56)*$CH$55</f>
        <v>#DIV/0!</v>
      </c>
      <c r="CL83" s="433" t="e">
        <f>(Tabla2410[[#This Row],[Columna4]]*CL$56/$BZ$56)*$CH$55</f>
        <v>#DIV/0!</v>
      </c>
      <c r="CM83" s="433" t="e">
        <f>(Tabla2410[[#This Row],[Columna4]]*CM$56/$BZ$56)*$CH$55</f>
        <v>#DIV/0!</v>
      </c>
      <c r="CN83" s="433" t="e">
        <f>(Tabla2410[[#This Row],[Columna4]]*CN$56/$BZ$56)*$CH$55</f>
        <v>#DIV/0!</v>
      </c>
      <c r="CO83" s="433" t="e">
        <f>(Tabla2410[[#This Row],[Columna4]]*CO$56/$BZ$56)*$CH$55</f>
        <v>#DIV/0!</v>
      </c>
      <c r="CP83" s="433" t="e">
        <f>(Tabla2410[[#This Row],[Columna4]]*CP$56/$BZ$56)*$CH$55</f>
        <v>#DIV/0!</v>
      </c>
      <c r="CQ83" s="433" t="e">
        <f>(Tabla2410[[#This Row],[Columna4]]*CQ$56/$BZ$56)*$CH$55</f>
        <v>#DIV/0!</v>
      </c>
      <c r="CR83" s="433" t="e">
        <f>(Tabla2410[[#This Row],[Columna4]]*CR$56/$BZ$56)*$CH$55</f>
        <v>#DIV/0!</v>
      </c>
      <c r="CS83" s="433" t="e">
        <f>(Tabla2410[[#This Row],[Columna4]]*CS$56/$BZ$56)*$CH$55</f>
        <v>#DIV/0!</v>
      </c>
      <c r="CT83" s="433" t="e">
        <f>(Tabla2410[[#This Row],[Columna4]]*CT$56/$BZ$56)*$CH$55</f>
        <v>#DIV/0!</v>
      </c>
      <c r="CV83" s="531"/>
      <c r="CW83" s="531"/>
      <c r="CX83" s="396" t="e">
        <f>$AS$80</f>
        <v>#DIV/0!</v>
      </c>
      <c r="CY83" s="242" t="str">
        <f>Tabla24[[#This Row],[Columna1]]</f>
        <v>C25</v>
      </c>
      <c r="CZ83" s="433" t="e">
        <f>Tabla24105[[#This Row],[Columna3]]/7</f>
        <v>#DIV/0!</v>
      </c>
      <c r="DA83" s="433" t="e">
        <f>Tabla24105[[#This Row],[Columna4]]/4.2</f>
        <v>#DIV/0!</v>
      </c>
      <c r="DB83" s="433" t="e">
        <f>Tabla2410[[#This Row],[Columna16]]</f>
        <v>#DIV/0!</v>
      </c>
      <c r="DC83" s="433" t="e">
        <f>(Tabla24105[[#This Row],[Columna4]]*DC$56/$CT$56)*$DB$55</f>
        <v>#DIV/0!</v>
      </c>
      <c r="DD83" s="433" t="e">
        <f>(Tabla24105[[#This Row],[Columna4]]*DD$56/$CT$56)*$DB$55</f>
        <v>#DIV/0!</v>
      </c>
      <c r="DE83" s="433" t="e">
        <f>(Tabla24105[[#This Row],[Columna4]]*DE$56/$CT$56)*$DB$55</f>
        <v>#DIV/0!</v>
      </c>
      <c r="DF83" s="433" t="e">
        <f>(Tabla24105[[#This Row],[Columna4]]*DF$56/$CT$56)*$DB$55</f>
        <v>#DIV/0!</v>
      </c>
      <c r="DG83" s="433" t="e">
        <f>(Tabla24105[[#This Row],[Columna4]]*DG$56/$CT$56)*$DB$55</f>
        <v>#DIV/0!</v>
      </c>
      <c r="DH83" s="433" t="e">
        <f>(Tabla24105[[#This Row],[Columna4]]*DH$56/$CT$56)*$DB$55</f>
        <v>#DIV/0!</v>
      </c>
      <c r="DI83" s="433" t="e">
        <f>(Tabla24105[[#This Row],[Columna4]]*DI$56/$CT$56)*$DB$55</f>
        <v>#DIV/0!</v>
      </c>
      <c r="DJ83" s="433" t="e">
        <f>(Tabla24105[[#This Row],[Columna4]]*DJ$56/$CT$56)*$DB$55</f>
        <v>#DIV/0!</v>
      </c>
      <c r="DK83" s="433" t="e">
        <f>(Tabla24105[[#This Row],[Columna4]]*DK$56/$CT$56)*$DB$55</f>
        <v>#DIV/0!</v>
      </c>
      <c r="DL83" s="433" t="e">
        <f>(Tabla24105[[#This Row],[Columna4]]*DL$56/$CT$56)*$DB$55</f>
        <v>#DIV/0!</v>
      </c>
      <c r="DM83" s="433" t="e">
        <f>(Tabla24105[[#This Row],[Columna4]]*DM$56/$CT$56)*$DB$55</f>
        <v>#DIV/0!</v>
      </c>
      <c r="DN83" s="433" t="e">
        <f>(Tabla24105[[#This Row],[Columna4]]*DN$56/$CT$56)*$DB$55</f>
        <v>#DIV/0!</v>
      </c>
      <c r="DP83" s="531"/>
      <c r="DQ83" s="531"/>
      <c r="DR83" s="396" t="e">
        <f>$AS$80</f>
        <v>#DIV/0!</v>
      </c>
      <c r="DS83" s="242" t="str">
        <f>Tabla24[[#This Row],[Columna1]]</f>
        <v>C25</v>
      </c>
      <c r="DT83" s="433" t="e">
        <f>Tabla241057[[#This Row],[Columna3]]/7</f>
        <v>#DIV/0!</v>
      </c>
      <c r="DU83" s="433" t="e">
        <f>Tabla241057[[#This Row],[Columna4]]/4.2</f>
        <v>#DIV/0!</v>
      </c>
      <c r="DV83" s="433" t="e">
        <f>Tabla24105[[#This Row],[Columna16]]</f>
        <v>#DIV/0!</v>
      </c>
      <c r="DW83" s="433" t="e">
        <f>(Tabla241057[[#This Row],[Columna4]]*DW$56/$DN$56)*$DV$55</f>
        <v>#DIV/0!</v>
      </c>
      <c r="DX83" s="433" t="e">
        <f>(Tabla241057[[#This Row],[Columna4]]*DX$56/$DN$56)*$DV$55</f>
        <v>#DIV/0!</v>
      </c>
      <c r="DY83" s="433" t="e">
        <f>(Tabla241057[[#This Row],[Columna4]]*DY$56/$DN$56)*$DV$55</f>
        <v>#DIV/0!</v>
      </c>
      <c r="DZ83" s="433" t="e">
        <f>(Tabla241057[[#This Row],[Columna4]]*DZ$56/$DN$56)*$DV$55</f>
        <v>#DIV/0!</v>
      </c>
      <c r="EA83" s="433" t="e">
        <f>(Tabla241057[[#This Row],[Columna4]]*EA$56/$DN$56)*$DV$55</f>
        <v>#DIV/0!</v>
      </c>
      <c r="EB83" s="433" t="e">
        <f>(Tabla241057[[#This Row],[Columna4]]*EB$56/$DN$56)*$DV$55</f>
        <v>#DIV/0!</v>
      </c>
      <c r="EC83" s="433" t="e">
        <f>(Tabla241057[[#This Row],[Columna4]]*EC$56/$DN$56)*$DV$55</f>
        <v>#DIV/0!</v>
      </c>
      <c r="ED83" s="433" t="e">
        <f>(Tabla241057[[#This Row],[Columna4]]*ED$56/$DN$56)*$DV$55</f>
        <v>#DIV/0!</v>
      </c>
      <c r="EE83" s="433" t="e">
        <f>(Tabla241057[[#This Row],[Columna4]]*EE$56/$DN$56)*$DV$55</f>
        <v>#DIV/0!</v>
      </c>
      <c r="EF83" s="433" t="e">
        <f>(Tabla241057[[#This Row],[Columna4]]*EF$56/$DN$56)*$DV$55</f>
        <v>#DIV/0!</v>
      </c>
      <c r="EG83" s="433" t="e">
        <f>(Tabla241057[[#This Row],[Columna4]]*EG$56/$DN$56)*$DV$55</f>
        <v>#DIV/0!</v>
      </c>
      <c r="EH83" s="433" t="e">
        <f>(Tabla241057[[#This Row],[Columna4]]*EH$56/$DN$56)*$DV$55</f>
        <v>#DIV/0!</v>
      </c>
      <c r="EJ83" s="531"/>
      <c r="EK83" s="531"/>
      <c r="EL83" s="396" t="e">
        <f>$AS$80</f>
        <v>#DIV/0!</v>
      </c>
      <c r="EM83" s="242" t="str">
        <f>Tabla24[[#This Row],[Columna1]]</f>
        <v>C25</v>
      </c>
      <c r="EN83" s="433" t="e">
        <f>Tabla24105711[[#This Row],[Columna3]]/7</f>
        <v>#DIV/0!</v>
      </c>
      <c r="EO83" s="433" t="e">
        <f>Tabla24105711[[#This Row],[Columna4]]/4.2</f>
        <v>#DIV/0!</v>
      </c>
      <c r="EP83" s="433" t="e">
        <f>Tabla241057[[#This Row],[Columna16]]</f>
        <v>#DIV/0!</v>
      </c>
      <c r="EQ83" s="433" t="e">
        <f>(Tabla24105711[[#This Row],[Columna4]]*EQ$56/$EH$56)*$EP$55</f>
        <v>#DIV/0!</v>
      </c>
      <c r="ER83" s="433" t="e">
        <f>(Tabla24105711[[#This Row],[Columna4]]*ER$56/$EH$56)*$EP$55</f>
        <v>#DIV/0!</v>
      </c>
      <c r="ES83" s="433" t="e">
        <f>(Tabla24105711[[#This Row],[Columna4]]*ES$56/$EH$56)*$EP$55</f>
        <v>#DIV/0!</v>
      </c>
      <c r="ET83" s="433" t="e">
        <f>(Tabla24105711[[#This Row],[Columna4]]*ET$56/$EH$56)*$EP$55</f>
        <v>#DIV/0!</v>
      </c>
      <c r="EU83" s="433" t="e">
        <f>(Tabla24105711[[#This Row],[Columna4]]*EU$56/$EH$56)*$EP$55</f>
        <v>#DIV/0!</v>
      </c>
      <c r="EV83" s="433" t="e">
        <f>(Tabla24105711[[#This Row],[Columna4]]*EV$56/$EH$56)*$EP$55</f>
        <v>#DIV/0!</v>
      </c>
      <c r="EW83" s="433" t="e">
        <f>(Tabla24105711[[#This Row],[Columna4]]*EW$56/$EH$56)*$EP$55</f>
        <v>#DIV/0!</v>
      </c>
      <c r="EX83" s="433" t="e">
        <f>(Tabla24105711[[#This Row],[Columna4]]*EX$56/$EH$56)*$EP$55</f>
        <v>#DIV/0!</v>
      </c>
      <c r="EY83" s="433" t="e">
        <f>(Tabla24105711[[#This Row],[Columna4]]*EY$56/$EH$56)*$EP$55</f>
        <v>#DIV/0!</v>
      </c>
      <c r="EZ83" s="433" t="e">
        <f>(Tabla24105711[[#This Row],[Columna4]]*EZ$56/$EH$56)*$EP$55</f>
        <v>#DIV/0!</v>
      </c>
      <c r="FA83" s="433" t="e">
        <f>(Tabla24105711[[#This Row],[Columna4]]*FA$56/$EH$56)*$EP$55</f>
        <v>#DIV/0!</v>
      </c>
      <c r="FB83" s="433" t="e">
        <f>(Tabla24105711[[#This Row],[Columna4]]*FB$56/$EH$56)*$EP$55</f>
        <v>#DIV/0!</v>
      </c>
      <c r="FD83" s="397" t="s">
        <v>120</v>
      </c>
      <c r="FE83" s="399" t="s">
        <v>281</v>
      </c>
      <c r="FF83" s="400">
        <f t="shared" si="307"/>
        <v>0</v>
      </c>
      <c r="FG83" s="400">
        <f t="shared" si="307"/>
        <v>0</v>
      </c>
      <c r="FH83" s="400">
        <f t="shared" si="307"/>
        <v>0</v>
      </c>
      <c r="FI83" s="400">
        <f t="shared" si="307"/>
        <v>0</v>
      </c>
      <c r="FJ83" s="400">
        <f t="shared" si="307"/>
        <v>0</v>
      </c>
      <c r="FK83" s="400">
        <f t="shared" si="307"/>
        <v>0</v>
      </c>
      <c r="FL83" s="400">
        <f t="shared" si="307"/>
        <v>0</v>
      </c>
      <c r="FM83" s="400">
        <f t="shared" si="307"/>
        <v>0</v>
      </c>
      <c r="FN83" s="400">
        <f t="shared" si="307"/>
        <v>0</v>
      </c>
      <c r="FO83" s="400">
        <f t="shared" si="307"/>
        <v>0</v>
      </c>
      <c r="FP83" s="400">
        <f t="shared" si="307"/>
        <v>0</v>
      </c>
      <c r="FQ83" s="400">
        <f t="shared" si="307"/>
        <v>0</v>
      </c>
      <c r="FR83" s="363">
        <f t="shared" si="197"/>
        <v>0</v>
      </c>
      <c r="FS83" s="260" t="e">
        <f t="shared" si="198"/>
        <v>#DIV/0!</v>
      </c>
      <c r="FV83" s="357" t="s">
        <v>252</v>
      </c>
      <c r="FW83" s="358" t="e">
        <f>+FW79-FW81</f>
        <v>#DIV/0!</v>
      </c>
      <c r="FX83" s="358" t="e">
        <f t="shared" ref="FX83:GH83" si="312">+FX79-FX81</f>
        <v>#DIV/0!</v>
      </c>
      <c r="FY83" s="358" t="e">
        <f t="shared" si="312"/>
        <v>#DIV/0!</v>
      </c>
      <c r="FZ83" s="358" t="e">
        <f t="shared" si="312"/>
        <v>#DIV/0!</v>
      </c>
      <c r="GA83" s="358" t="e">
        <f t="shared" si="312"/>
        <v>#DIV/0!</v>
      </c>
      <c r="GB83" s="358" t="e">
        <f t="shared" si="312"/>
        <v>#DIV/0!</v>
      </c>
      <c r="GC83" s="358" t="e">
        <f t="shared" si="312"/>
        <v>#DIV/0!</v>
      </c>
      <c r="GD83" s="358" t="e">
        <f t="shared" si="312"/>
        <v>#DIV/0!</v>
      </c>
      <c r="GE83" s="358" t="e">
        <f t="shared" si="312"/>
        <v>#DIV/0!</v>
      </c>
      <c r="GF83" s="358" t="e">
        <f t="shared" si="312"/>
        <v>#DIV/0!</v>
      </c>
      <c r="GG83" s="358" t="e">
        <f t="shared" si="312"/>
        <v>#DIV/0!</v>
      </c>
      <c r="GH83" s="358" t="e">
        <f t="shared" si="312"/>
        <v>#DIV/0!</v>
      </c>
      <c r="GI83" s="309" t="e">
        <f t="shared" ref="GI83" si="313">SUM(FW83:GH83)</f>
        <v>#DIV/0!</v>
      </c>
      <c r="GJ83" s="262" t="e">
        <f>GI83/$GI$6</f>
        <v>#DIV/0!</v>
      </c>
      <c r="HD83" s="65" t="s">
        <v>554</v>
      </c>
      <c r="HE83" s="66">
        <v>0</v>
      </c>
      <c r="HF83" s="67">
        <f t="shared" si="310"/>
        <v>0</v>
      </c>
      <c r="HG83" s="68">
        <f t="shared" si="311"/>
        <v>0</v>
      </c>
      <c r="HH83" s="69">
        <v>1</v>
      </c>
      <c r="HI83" s="367">
        <v>0</v>
      </c>
      <c r="HJ83" s="143"/>
      <c r="HM83" s="283"/>
      <c r="HN83" s="283"/>
      <c r="HO83" s="285"/>
      <c r="HP83" s="283"/>
      <c r="HQ83" s="286"/>
      <c r="HR83" s="283"/>
      <c r="HS83" s="286"/>
      <c r="HT83" s="283"/>
      <c r="HU83" s="286"/>
      <c r="HV83" s="283"/>
      <c r="HW83" s="286"/>
      <c r="HX83" s="283"/>
      <c r="HY83" s="286"/>
      <c r="HZ83" s="283"/>
      <c r="IA83" s="286"/>
      <c r="IB83" s="283"/>
      <c r="IC83" s="286"/>
      <c r="ID83" s="283"/>
      <c r="IE83" s="286"/>
      <c r="IF83" s="283"/>
      <c r="IG83" s="286"/>
      <c r="IH83" s="283"/>
      <c r="II83" s="286"/>
      <c r="IJ83" s="283"/>
      <c r="IK83" s="286"/>
      <c r="IL83" s="283"/>
      <c r="IM83" s="288"/>
    </row>
    <row r="84" spans="39:247" ht="14.4" customHeight="1" x14ac:dyDescent="0.3">
      <c r="AM84" s="412">
        <f t="shared" si="270"/>
        <v>0</v>
      </c>
      <c r="AN84" s="412">
        <f t="shared" si="271"/>
        <v>0</v>
      </c>
      <c r="AO84" s="412">
        <f t="shared" si="272"/>
        <v>0</v>
      </c>
      <c r="AP84" s="412">
        <f t="shared" si="273"/>
        <v>0</v>
      </c>
      <c r="AQ84" s="413" t="s">
        <v>817</v>
      </c>
      <c r="AR84" s="297">
        <f t="shared" si="274"/>
        <v>0</v>
      </c>
      <c r="AS84" s="414" t="e">
        <f t="shared" si="267"/>
        <v>#DIV/0!</v>
      </c>
      <c r="AT84" s="529"/>
      <c r="AU84" s="529"/>
      <c r="AV84" s="299">
        <v>0</v>
      </c>
      <c r="AW84" s="300">
        <v>0</v>
      </c>
      <c r="AX84" s="301"/>
      <c r="BH84" s="531"/>
      <c r="BI84" s="531"/>
      <c r="BJ84" s="396" t="e">
        <f>$AS$81</f>
        <v>#DIV/0!</v>
      </c>
      <c r="BK84" s="242" t="str">
        <f t="shared" si="277"/>
        <v>C26</v>
      </c>
      <c r="BL84" s="433">
        <f>Tabla24[[#This Row],[Columna3]]/7</f>
        <v>0</v>
      </c>
      <c r="BM84" s="433">
        <f>Tabla24[[#This Row],[Columna4]]/4.2</f>
        <v>0</v>
      </c>
      <c r="BN84" s="433">
        <f t="shared" si="278"/>
        <v>0</v>
      </c>
      <c r="BO84" s="433">
        <f t="shared" si="279"/>
        <v>0</v>
      </c>
      <c r="BP84" s="433">
        <f t="shared" si="280"/>
        <v>0</v>
      </c>
      <c r="BQ84" s="433">
        <f t="shared" si="281"/>
        <v>0</v>
      </c>
      <c r="BR84" s="433">
        <f t="shared" si="282"/>
        <v>0</v>
      </c>
      <c r="BS84" s="433">
        <f t="shared" si="283"/>
        <v>0</v>
      </c>
      <c r="BT84" s="433">
        <f t="shared" si="284"/>
        <v>0</v>
      </c>
      <c r="BU84" s="433">
        <f t="shared" si="285"/>
        <v>0</v>
      </c>
      <c r="BV84" s="433">
        <f t="shared" si="286"/>
        <v>0</v>
      </c>
      <c r="BW84" s="433">
        <f t="shared" si="287"/>
        <v>0</v>
      </c>
      <c r="BX84" s="433">
        <f t="shared" si="288"/>
        <v>0</v>
      </c>
      <c r="BY84" s="433">
        <f t="shared" si="289"/>
        <v>0</v>
      </c>
      <c r="BZ84" s="433">
        <f t="shared" si="290"/>
        <v>0</v>
      </c>
      <c r="CB84" s="531"/>
      <c r="CC84" s="531"/>
      <c r="CD84" s="396" t="e">
        <f>$AS$81</f>
        <v>#DIV/0!</v>
      </c>
      <c r="CE84" s="242" t="str">
        <f>Tabla24[[#This Row],[Columna1]]</f>
        <v>C26</v>
      </c>
      <c r="CF84" s="433">
        <f>Tabla2410[[#This Row],[Columna3]]/7</f>
        <v>0</v>
      </c>
      <c r="CG84" s="433">
        <f>Tabla2410[[#This Row],[Columna4]]/4.2</f>
        <v>0</v>
      </c>
      <c r="CH84" s="433">
        <f>Tabla24[[#This Row],[Columna16]]</f>
        <v>0</v>
      </c>
      <c r="CI84" s="433" t="e">
        <f>(Tabla2410[[#This Row],[Columna4]]*CI$56/$BZ$56)*$CH$55</f>
        <v>#DIV/0!</v>
      </c>
      <c r="CJ84" s="433" t="e">
        <f>(Tabla2410[[#This Row],[Columna4]]*CJ$56/$BZ$56)*$CH$55</f>
        <v>#DIV/0!</v>
      </c>
      <c r="CK84" s="433" t="e">
        <f>(Tabla2410[[#This Row],[Columna4]]*CK$56/$BZ$56)*$CH$55</f>
        <v>#DIV/0!</v>
      </c>
      <c r="CL84" s="433" t="e">
        <f>(Tabla2410[[#This Row],[Columna4]]*CL$56/$BZ$56)*$CH$55</f>
        <v>#DIV/0!</v>
      </c>
      <c r="CM84" s="433" t="e">
        <f>(Tabla2410[[#This Row],[Columna4]]*CM$56/$BZ$56)*$CH$55</f>
        <v>#DIV/0!</v>
      </c>
      <c r="CN84" s="433" t="e">
        <f>(Tabla2410[[#This Row],[Columna4]]*CN$56/$BZ$56)*$CH$55</f>
        <v>#DIV/0!</v>
      </c>
      <c r="CO84" s="433" t="e">
        <f>(Tabla2410[[#This Row],[Columna4]]*CO$56/$BZ$56)*$CH$55</f>
        <v>#DIV/0!</v>
      </c>
      <c r="CP84" s="433" t="e">
        <f>(Tabla2410[[#This Row],[Columna4]]*CP$56/$BZ$56)*$CH$55</f>
        <v>#DIV/0!</v>
      </c>
      <c r="CQ84" s="433" t="e">
        <f>(Tabla2410[[#This Row],[Columna4]]*CQ$56/$BZ$56)*$CH$55</f>
        <v>#DIV/0!</v>
      </c>
      <c r="CR84" s="433" t="e">
        <f>(Tabla2410[[#This Row],[Columna4]]*CR$56/$BZ$56)*$CH$55</f>
        <v>#DIV/0!</v>
      </c>
      <c r="CS84" s="433" t="e">
        <f>(Tabla2410[[#This Row],[Columna4]]*CS$56/$BZ$56)*$CH$55</f>
        <v>#DIV/0!</v>
      </c>
      <c r="CT84" s="433" t="e">
        <f>(Tabla2410[[#This Row],[Columna4]]*CT$56/$BZ$56)*$CH$55</f>
        <v>#DIV/0!</v>
      </c>
      <c r="CV84" s="531"/>
      <c r="CW84" s="531"/>
      <c r="CX84" s="396" t="e">
        <f>$AS$81</f>
        <v>#DIV/0!</v>
      </c>
      <c r="CY84" s="242" t="str">
        <f>Tabla24[[#This Row],[Columna1]]</f>
        <v>C26</v>
      </c>
      <c r="CZ84" s="433" t="e">
        <f>Tabla24105[[#This Row],[Columna3]]/7</f>
        <v>#DIV/0!</v>
      </c>
      <c r="DA84" s="433" t="e">
        <f>Tabla24105[[#This Row],[Columna4]]/4.2</f>
        <v>#DIV/0!</v>
      </c>
      <c r="DB84" s="433" t="e">
        <f>Tabla2410[[#This Row],[Columna16]]</f>
        <v>#DIV/0!</v>
      </c>
      <c r="DC84" s="433" t="e">
        <f>(Tabla24105[[#This Row],[Columna4]]*DC$56/$CT$56)*$DB$55</f>
        <v>#DIV/0!</v>
      </c>
      <c r="DD84" s="433" t="e">
        <f>(Tabla24105[[#This Row],[Columna4]]*DD$56/$CT$56)*$DB$55</f>
        <v>#DIV/0!</v>
      </c>
      <c r="DE84" s="433" t="e">
        <f>(Tabla24105[[#This Row],[Columna4]]*DE$56/$CT$56)*$DB$55</f>
        <v>#DIV/0!</v>
      </c>
      <c r="DF84" s="433" t="e">
        <f>(Tabla24105[[#This Row],[Columna4]]*DF$56/$CT$56)*$DB$55</f>
        <v>#DIV/0!</v>
      </c>
      <c r="DG84" s="433" t="e">
        <f>(Tabla24105[[#This Row],[Columna4]]*DG$56/$CT$56)*$DB$55</f>
        <v>#DIV/0!</v>
      </c>
      <c r="DH84" s="433" t="e">
        <f>(Tabla24105[[#This Row],[Columna4]]*DH$56/$CT$56)*$DB$55</f>
        <v>#DIV/0!</v>
      </c>
      <c r="DI84" s="433" t="e">
        <f>(Tabla24105[[#This Row],[Columna4]]*DI$56/$CT$56)*$DB$55</f>
        <v>#DIV/0!</v>
      </c>
      <c r="DJ84" s="433" t="e">
        <f>(Tabla24105[[#This Row],[Columna4]]*DJ$56/$CT$56)*$DB$55</f>
        <v>#DIV/0!</v>
      </c>
      <c r="DK84" s="433" t="e">
        <f>(Tabla24105[[#This Row],[Columna4]]*DK$56/$CT$56)*$DB$55</f>
        <v>#DIV/0!</v>
      </c>
      <c r="DL84" s="433" t="e">
        <f>(Tabla24105[[#This Row],[Columna4]]*DL$56/$CT$56)*$DB$55</f>
        <v>#DIV/0!</v>
      </c>
      <c r="DM84" s="433" t="e">
        <f>(Tabla24105[[#This Row],[Columna4]]*DM$56/$CT$56)*$DB$55</f>
        <v>#DIV/0!</v>
      </c>
      <c r="DN84" s="433" t="e">
        <f>(Tabla24105[[#This Row],[Columna4]]*DN$56/$CT$56)*$DB$55</f>
        <v>#DIV/0!</v>
      </c>
      <c r="DP84" s="531"/>
      <c r="DQ84" s="531"/>
      <c r="DR84" s="396" t="e">
        <f>$AS$81</f>
        <v>#DIV/0!</v>
      </c>
      <c r="DS84" s="242" t="str">
        <f>Tabla24[[#This Row],[Columna1]]</f>
        <v>C26</v>
      </c>
      <c r="DT84" s="433" t="e">
        <f>Tabla241057[[#This Row],[Columna3]]/7</f>
        <v>#DIV/0!</v>
      </c>
      <c r="DU84" s="433" t="e">
        <f>Tabla241057[[#This Row],[Columna4]]/4.2</f>
        <v>#DIV/0!</v>
      </c>
      <c r="DV84" s="433" t="e">
        <f>Tabla24105[[#This Row],[Columna16]]</f>
        <v>#DIV/0!</v>
      </c>
      <c r="DW84" s="433" t="e">
        <f>(Tabla241057[[#This Row],[Columna4]]*DW$56/$DN$56)*$DV$55</f>
        <v>#DIV/0!</v>
      </c>
      <c r="DX84" s="433" t="e">
        <f>(Tabla241057[[#This Row],[Columna4]]*DX$56/$DN$56)*$DV$55</f>
        <v>#DIV/0!</v>
      </c>
      <c r="DY84" s="433" t="e">
        <f>(Tabla241057[[#This Row],[Columna4]]*DY$56/$DN$56)*$DV$55</f>
        <v>#DIV/0!</v>
      </c>
      <c r="DZ84" s="433" t="e">
        <f>(Tabla241057[[#This Row],[Columna4]]*DZ$56/$DN$56)*$DV$55</f>
        <v>#DIV/0!</v>
      </c>
      <c r="EA84" s="433" t="e">
        <f>(Tabla241057[[#This Row],[Columna4]]*EA$56/$DN$56)*$DV$55</f>
        <v>#DIV/0!</v>
      </c>
      <c r="EB84" s="433" t="e">
        <f>(Tabla241057[[#This Row],[Columna4]]*EB$56/$DN$56)*$DV$55</f>
        <v>#DIV/0!</v>
      </c>
      <c r="EC84" s="433" t="e">
        <f>(Tabla241057[[#This Row],[Columna4]]*EC$56/$DN$56)*$DV$55</f>
        <v>#DIV/0!</v>
      </c>
      <c r="ED84" s="433" t="e">
        <f>(Tabla241057[[#This Row],[Columna4]]*ED$56/$DN$56)*$DV$55</f>
        <v>#DIV/0!</v>
      </c>
      <c r="EE84" s="433" t="e">
        <f>(Tabla241057[[#This Row],[Columna4]]*EE$56/$DN$56)*$DV$55</f>
        <v>#DIV/0!</v>
      </c>
      <c r="EF84" s="433" t="e">
        <f>(Tabla241057[[#This Row],[Columna4]]*EF$56/$DN$56)*$DV$55</f>
        <v>#DIV/0!</v>
      </c>
      <c r="EG84" s="433" t="e">
        <f>(Tabla241057[[#This Row],[Columna4]]*EG$56/$DN$56)*$DV$55</f>
        <v>#DIV/0!</v>
      </c>
      <c r="EH84" s="433" t="e">
        <f>(Tabla241057[[#This Row],[Columna4]]*EH$56/$DN$56)*$DV$55</f>
        <v>#DIV/0!</v>
      </c>
      <c r="EJ84" s="531"/>
      <c r="EK84" s="531"/>
      <c r="EL84" s="396" t="e">
        <f>$AS$81</f>
        <v>#DIV/0!</v>
      </c>
      <c r="EM84" s="242" t="str">
        <f>Tabla24[[#This Row],[Columna1]]</f>
        <v>C26</v>
      </c>
      <c r="EN84" s="433" t="e">
        <f>Tabla24105711[[#This Row],[Columna3]]/7</f>
        <v>#DIV/0!</v>
      </c>
      <c r="EO84" s="433" t="e">
        <f>Tabla24105711[[#This Row],[Columna4]]/4.2</f>
        <v>#DIV/0!</v>
      </c>
      <c r="EP84" s="433" t="e">
        <f>Tabla241057[[#This Row],[Columna16]]</f>
        <v>#DIV/0!</v>
      </c>
      <c r="EQ84" s="433" t="e">
        <f>(Tabla24105711[[#This Row],[Columna4]]*EQ$56/$EH$56)*$EP$55</f>
        <v>#DIV/0!</v>
      </c>
      <c r="ER84" s="433" t="e">
        <f>(Tabla24105711[[#This Row],[Columna4]]*ER$56/$EH$56)*$EP$55</f>
        <v>#DIV/0!</v>
      </c>
      <c r="ES84" s="433" t="e">
        <f>(Tabla24105711[[#This Row],[Columna4]]*ES$56/$EH$56)*$EP$55</f>
        <v>#DIV/0!</v>
      </c>
      <c r="ET84" s="433" t="e">
        <f>(Tabla24105711[[#This Row],[Columna4]]*ET$56/$EH$56)*$EP$55</f>
        <v>#DIV/0!</v>
      </c>
      <c r="EU84" s="433" t="e">
        <f>(Tabla24105711[[#This Row],[Columna4]]*EU$56/$EH$56)*$EP$55</f>
        <v>#DIV/0!</v>
      </c>
      <c r="EV84" s="433" t="e">
        <f>(Tabla24105711[[#This Row],[Columna4]]*EV$56/$EH$56)*$EP$55</f>
        <v>#DIV/0!</v>
      </c>
      <c r="EW84" s="433" t="e">
        <f>(Tabla24105711[[#This Row],[Columna4]]*EW$56/$EH$56)*$EP$55</f>
        <v>#DIV/0!</v>
      </c>
      <c r="EX84" s="433" t="e">
        <f>(Tabla24105711[[#This Row],[Columna4]]*EX$56/$EH$56)*$EP$55</f>
        <v>#DIV/0!</v>
      </c>
      <c r="EY84" s="433" t="e">
        <f>(Tabla24105711[[#This Row],[Columna4]]*EY$56/$EH$56)*$EP$55</f>
        <v>#DIV/0!</v>
      </c>
      <c r="EZ84" s="433" t="e">
        <f>(Tabla24105711[[#This Row],[Columna4]]*EZ$56/$EH$56)*$EP$55</f>
        <v>#DIV/0!</v>
      </c>
      <c r="FA84" s="433" t="e">
        <f>(Tabla24105711[[#This Row],[Columna4]]*FA$56/$EH$56)*$EP$55</f>
        <v>#DIV/0!</v>
      </c>
      <c r="FB84" s="433" t="e">
        <f>(Tabla24105711[[#This Row],[Columna4]]*FB$56/$EH$56)*$EP$55</f>
        <v>#DIV/0!</v>
      </c>
      <c r="FD84" s="397" t="s">
        <v>122</v>
      </c>
      <c r="FE84" s="357" t="s">
        <v>119</v>
      </c>
      <c r="FF84" s="325">
        <f>SUM(FF85:FF91)</f>
        <v>0</v>
      </c>
      <c r="FG84" s="325">
        <f t="shared" ref="FG84:FQ84" si="314">SUM(FG85:FG91)</f>
        <v>0</v>
      </c>
      <c r="FH84" s="325">
        <f t="shared" si="314"/>
        <v>0</v>
      </c>
      <c r="FI84" s="325">
        <f t="shared" si="314"/>
        <v>0</v>
      </c>
      <c r="FJ84" s="325">
        <f t="shared" si="314"/>
        <v>0</v>
      </c>
      <c r="FK84" s="325">
        <f t="shared" si="314"/>
        <v>0</v>
      </c>
      <c r="FL84" s="325">
        <f t="shared" si="314"/>
        <v>0</v>
      </c>
      <c r="FM84" s="325">
        <f t="shared" si="314"/>
        <v>0</v>
      </c>
      <c r="FN84" s="325">
        <f t="shared" si="314"/>
        <v>0</v>
      </c>
      <c r="FO84" s="325">
        <f t="shared" si="314"/>
        <v>0</v>
      </c>
      <c r="FP84" s="325">
        <f t="shared" si="314"/>
        <v>0</v>
      </c>
      <c r="FQ84" s="325">
        <f t="shared" si="314"/>
        <v>0</v>
      </c>
      <c r="FR84" s="309">
        <f t="shared" si="197"/>
        <v>0</v>
      </c>
      <c r="FS84" s="260" t="e">
        <f t="shared" si="198"/>
        <v>#DIV/0!</v>
      </c>
      <c r="FV84" s="361"/>
      <c r="FW84" s="362"/>
      <c r="FX84" s="362"/>
      <c r="FY84" s="362"/>
      <c r="FZ84" s="362"/>
      <c r="GA84" s="362"/>
      <c r="GB84" s="362"/>
      <c r="GC84" s="362"/>
      <c r="GD84" s="362"/>
      <c r="GE84" s="362"/>
      <c r="GF84" s="362"/>
      <c r="GG84" s="362"/>
      <c r="GH84" s="362"/>
      <c r="GI84" s="362"/>
      <c r="GJ84" s="387"/>
      <c r="HD84" s="65" t="s">
        <v>555</v>
      </c>
      <c r="HE84" s="66">
        <v>0</v>
      </c>
      <c r="HF84" s="67">
        <f t="shared" si="310"/>
        <v>0</v>
      </c>
      <c r="HG84" s="68">
        <f t="shared" si="311"/>
        <v>0</v>
      </c>
      <c r="HH84" s="69">
        <v>1</v>
      </c>
      <c r="HI84" s="367">
        <v>0</v>
      </c>
      <c r="HJ84" s="143"/>
      <c r="HM84" s="283"/>
      <c r="HN84" s="283"/>
      <c r="HO84" s="285"/>
      <c r="HP84" s="283"/>
      <c r="HQ84" s="286"/>
      <c r="HR84" s="283"/>
      <c r="HS84" s="286"/>
      <c r="HT84" s="283"/>
      <c r="HU84" s="286"/>
      <c r="HV84" s="283"/>
      <c r="HW84" s="286"/>
      <c r="HX84" s="283"/>
      <c r="HY84" s="286"/>
      <c r="HZ84" s="283"/>
      <c r="IA84" s="286"/>
      <c r="IB84" s="283"/>
      <c r="IC84" s="286"/>
      <c r="ID84" s="283"/>
      <c r="IE84" s="286"/>
      <c r="IF84" s="283"/>
      <c r="IG84" s="286"/>
      <c r="IH84" s="283"/>
      <c r="II84" s="286"/>
      <c r="IJ84" s="283"/>
      <c r="IK84" s="286"/>
      <c r="IL84" s="283"/>
      <c r="IM84" s="288"/>
    </row>
    <row r="85" spans="39:247" ht="14.4" customHeight="1" x14ac:dyDescent="0.3">
      <c r="AM85" s="412">
        <f t="shared" si="270"/>
        <v>0</v>
      </c>
      <c r="AN85" s="412">
        <f t="shared" si="271"/>
        <v>0</v>
      </c>
      <c r="AO85" s="412">
        <f t="shared" si="272"/>
        <v>0</v>
      </c>
      <c r="AP85" s="412">
        <f t="shared" si="273"/>
        <v>0</v>
      </c>
      <c r="AQ85" s="413" t="s">
        <v>819</v>
      </c>
      <c r="AR85" s="297">
        <f t="shared" si="274"/>
        <v>0</v>
      </c>
      <c r="AS85" s="414" t="e">
        <f t="shared" si="267"/>
        <v>#DIV/0!</v>
      </c>
      <c r="AT85" s="529"/>
      <c r="AU85" s="529"/>
      <c r="AV85" s="299">
        <v>0</v>
      </c>
      <c r="AW85" s="300">
        <v>0</v>
      </c>
      <c r="AX85" s="301"/>
      <c r="BH85" s="529" t="s">
        <v>335</v>
      </c>
      <c r="BI85" s="529" t="e">
        <f>SUM(BJ85:BJ101)</f>
        <v>#DIV/0!</v>
      </c>
      <c r="BJ85" s="414" t="e">
        <f>$AS$82</f>
        <v>#DIV/0!</v>
      </c>
      <c r="BK85" s="242" t="str">
        <f t="shared" si="277"/>
        <v>C27</v>
      </c>
      <c r="BL85" s="433">
        <f>Tabla24[[#This Row],[Columna3]]/7</f>
        <v>0</v>
      </c>
      <c r="BM85" s="433">
        <f>Tabla24[[#This Row],[Columna4]]/4.2</f>
        <v>0</v>
      </c>
      <c r="BN85" s="433">
        <f t="shared" si="278"/>
        <v>0</v>
      </c>
      <c r="BO85" s="433">
        <f t="shared" si="279"/>
        <v>0</v>
      </c>
      <c r="BP85" s="433">
        <f t="shared" si="280"/>
        <v>0</v>
      </c>
      <c r="BQ85" s="433">
        <f t="shared" si="281"/>
        <v>0</v>
      </c>
      <c r="BR85" s="433">
        <f t="shared" si="282"/>
        <v>0</v>
      </c>
      <c r="BS85" s="433">
        <f t="shared" si="283"/>
        <v>0</v>
      </c>
      <c r="BT85" s="433">
        <f t="shared" si="284"/>
        <v>0</v>
      </c>
      <c r="BU85" s="433">
        <f t="shared" si="285"/>
        <v>0</v>
      </c>
      <c r="BV85" s="433">
        <f t="shared" si="286"/>
        <v>0</v>
      </c>
      <c r="BW85" s="433">
        <f t="shared" si="287"/>
        <v>0</v>
      </c>
      <c r="BX85" s="433">
        <f t="shared" si="288"/>
        <v>0</v>
      </c>
      <c r="BY85" s="433">
        <f t="shared" si="289"/>
        <v>0</v>
      </c>
      <c r="BZ85" s="433">
        <f t="shared" si="290"/>
        <v>0</v>
      </c>
      <c r="CB85" s="529" t="s">
        <v>335</v>
      </c>
      <c r="CC85" s="529" t="e">
        <f>SUM(CD85:CD101)</f>
        <v>#DIV/0!</v>
      </c>
      <c r="CD85" s="414" t="e">
        <f>$AS$82</f>
        <v>#DIV/0!</v>
      </c>
      <c r="CE85" s="242" t="str">
        <f>Tabla24[[#This Row],[Columna1]]</f>
        <v>C27</v>
      </c>
      <c r="CF85" s="433">
        <f>Tabla2410[[#This Row],[Columna3]]/7</f>
        <v>0</v>
      </c>
      <c r="CG85" s="433">
        <f>Tabla2410[[#This Row],[Columna4]]/4.2</f>
        <v>0</v>
      </c>
      <c r="CH85" s="433">
        <f>Tabla24[[#This Row],[Columna16]]</f>
        <v>0</v>
      </c>
      <c r="CI85" s="433" t="e">
        <f>(Tabla2410[[#This Row],[Columna4]]*CI$56/$BZ$56)*$CH$55</f>
        <v>#DIV/0!</v>
      </c>
      <c r="CJ85" s="433" t="e">
        <f>(Tabla2410[[#This Row],[Columna4]]*CJ$56/$BZ$56)*$CH$55</f>
        <v>#DIV/0!</v>
      </c>
      <c r="CK85" s="433" t="e">
        <f>(Tabla2410[[#This Row],[Columna4]]*CK$56/$BZ$56)*$CH$55</f>
        <v>#DIV/0!</v>
      </c>
      <c r="CL85" s="433" t="e">
        <f>(Tabla2410[[#This Row],[Columna4]]*CL$56/$BZ$56)*$CH$55</f>
        <v>#DIV/0!</v>
      </c>
      <c r="CM85" s="433" t="e">
        <f>(Tabla2410[[#This Row],[Columna4]]*CM$56/$BZ$56)*$CH$55</f>
        <v>#DIV/0!</v>
      </c>
      <c r="CN85" s="433" t="e">
        <f>(Tabla2410[[#This Row],[Columna4]]*CN$56/$BZ$56)*$CH$55</f>
        <v>#DIV/0!</v>
      </c>
      <c r="CO85" s="433" t="e">
        <f>(Tabla2410[[#This Row],[Columna4]]*CO$56/$BZ$56)*$CH$55</f>
        <v>#DIV/0!</v>
      </c>
      <c r="CP85" s="433" t="e">
        <f>(Tabla2410[[#This Row],[Columna4]]*CP$56/$BZ$56)*$CH$55</f>
        <v>#DIV/0!</v>
      </c>
      <c r="CQ85" s="433" t="e">
        <f>(Tabla2410[[#This Row],[Columna4]]*CQ$56/$BZ$56)*$CH$55</f>
        <v>#DIV/0!</v>
      </c>
      <c r="CR85" s="433" t="e">
        <f>(Tabla2410[[#This Row],[Columna4]]*CR$56/$BZ$56)*$CH$55</f>
        <v>#DIV/0!</v>
      </c>
      <c r="CS85" s="433" t="e">
        <f>(Tabla2410[[#This Row],[Columna4]]*CS$56/$BZ$56)*$CH$55</f>
        <v>#DIV/0!</v>
      </c>
      <c r="CT85" s="433" t="e">
        <f>(Tabla2410[[#This Row],[Columna4]]*CT$56/$BZ$56)*$CH$55</f>
        <v>#DIV/0!</v>
      </c>
      <c r="CV85" s="529" t="s">
        <v>335</v>
      </c>
      <c r="CW85" s="529" t="e">
        <f>SUM(CX85:CX101)</f>
        <v>#DIV/0!</v>
      </c>
      <c r="CX85" s="414" t="e">
        <f>$AS$82</f>
        <v>#DIV/0!</v>
      </c>
      <c r="CY85" s="242" t="str">
        <f>Tabla24[[#This Row],[Columna1]]</f>
        <v>C27</v>
      </c>
      <c r="CZ85" s="433" t="e">
        <f>Tabla24105[[#This Row],[Columna3]]/7</f>
        <v>#DIV/0!</v>
      </c>
      <c r="DA85" s="433" t="e">
        <f>Tabla24105[[#This Row],[Columna4]]/4.2</f>
        <v>#DIV/0!</v>
      </c>
      <c r="DB85" s="433" t="e">
        <f>Tabla2410[[#This Row],[Columna16]]</f>
        <v>#DIV/0!</v>
      </c>
      <c r="DC85" s="433" t="e">
        <f>(Tabla24105[[#This Row],[Columna4]]*DC$56/$CT$56)*$DB$55</f>
        <v>#DIV/0!</v>
      </c>
      <c r="DD85" s="433" t="e">
        <f>(Tabla24105[[#This Row],[Columna4]]*DD$56/$CT$56)*$DB$55</f>
        <v>#DIV/0!</v>
      </c>
      <c r="DE85" s="433" t="e">
        <f>(Tabla24105[[#This Row],[Columna4]]*DE$56/$CT$56)*$DB$55</f>
        <v>#DIV/0!</v>
      </c>
      <c r="DF85" s="433" t="e">
        <f>(Tabla24105[[#This Row],[Columna4]]*DF$56/$CT$56)*$DB$55</f>
        <v>#DIV/0!</v>
      </c>
      <c r="DG85" s="433" t="e">
        <f>(Tabla24105[[#This Row],[Columna4]]*DG$56/$CT$56)*$DB$55</f>
        <v>#DIV/0!</v>
      </c>
      <c r="DH85" s="433" t="e">
        <f>(Tabla24105[[#This Row],[Columna4]]*DH$56/$CT$56)*$DB$55</f>
        <v>#DIV/0!</v>
      </c>
      <c r="DI85" s="433" t="e">
        <f>(Tabla24105[[#This Row],[Columna4]]*DI$56/$CT$56)*$DB$55</f>
        <v>#DIV/0!</v>
      </c>
      <c r="DJ85" s="433" t="e">
        <f>(Tabla24105[[#This Row],[Columna4]]*DJ$56/$CT$56)*$DB$55</f>
        <v>#DIV/0!</v>
      </c>
      <c r="DK85" s="433" t="e">
        <f>(Tabla24105[[#This Row],[Columna4]]*DK$56/$CT$56)*$DB$55</f>
        <v>#DIV/0!</v>
      </c>
      <c r="DL85" s="433" t="e">
        <f>(Tabla24105[[#This Row],[Columna4]]*DL$56/$CT$56)*$DB$55</f>
        <v>#DIV/0!</v>
      </c>
      <c r="DM85" s="433" t="e">
        <f>(Tabla24105[[#This Row],[Columna4]]*DM$56/$CT$56)*$DB$55</f>
        <v>#DIV/0!</v>
      </c>
      <c r="DN85" s="433" t="e">
        <f>(Tabla24105[[#This Row],[Columna4]]*DN$56/$CT$56)*$DB$55</f>
        <v>#DIV/0!</v>
      </c>
      <c r="DP85" s="529" t="s">
        <v>335</v>
      </c>
      <c r="DQ85" s="529" t="e">
        <f>SUM(DR85:DR101)</f>
        <v>#DIV/0!</v>
      </c>
      <c r="DR85" s="414" t="e">
        <f>$AS$82</f>
        <v>#DIV/0!</v>
      </c>
      <c r="DS85" s="242" t="str">
        <f>Tabla24[[#This Row],[Columna1]]</f>
        <v>C27</v>
      </c>
      <c r="DT85" s="433" t="e">
        <f>Tabla241057[[#This Row],[Columna3]]/7</f>
        <v>#DIV/0!</v>
      </c>
      <c r="DU85" s="433" t="e">
        <f>Tabla241057[[#This Row],[Columna4]]/4.2</f>
        <v>#DIV/0!</v>
      </c>
      <c r="DV85" s="433" t="e">
        <f>Tabla24105[[#This Row],[Columna16]]</f>
        <v>#DIV/0!</v>
      </c>
      <c r="DW85" s="433" t="e">
        <f>(Tabla241057[[#This Row],[Columna4]]*DW$56/$DN$56)*$DV$55</f>
        <v>#DIV/0!</v>
      </c>
      <c r="DX85" s="433" t="e">
        <f>(Tabla241057[[#This Row],[Columna4]]*DX$56/$DN$56)*$DV$55</f>
        <v>#DIV/0!</v>
      </c>
      <c r="DY85" s="433" t="e">
        <f>(Tabla241057[[#This Row],[Columna4]]*DY$56/$DN$56)*$DV$55</f>
        <v>#DIV/0!</v>
      </c>
      <c r="DZ85" s="433" t="e">
        <f>(Tabla241057[[#This Row],[Columna4]]*DZ$56/$DN$56)*$DV$55</f>
        <v>#DIV/0!</v>
      </c>
      <c r="EA85" s="433" t="e">
        <f>(Tabla241057[[#This Row],[Columna4]]*EA$56/$DN$56)*$DV$55</f>
        <v>#DIV/0!</v>
      </c>
      <c r="EB85" s="433" t="e">
        <f>(Tabla241057[[#This Row],[Columna4]]*EB$56/$DN$56)*$DV$55</f>
        <v>#DIV/0!</v>
      </c>
      <c r="EC85" s="433" t="e">
        <f>(Tabla241057[[#This Row],[Columna4]]*EC$56/$DN$56)*$DV$55</f>
        <v>#DIV/0!</v>
      </c>
      <c r="ED85" s="433" t="e">
        <f>(Tabla241057[[#This Row],[Columna4]]*ED$56/$DN$56)*$DV$55</f>
        <v>#DIV/0!</v>
      </c>
      <c r="EE85" s="433" t="e">
        <f>(Tabla241057[[#This Row],[Columna4]]*EE$56/$DN$56)*$DV$55</f>
        <v>#DIV/0!</v>
      </c>
      <c r="EF85" s="433" t="e">
        <f>(Tabla241057[[#This Row],[Columna4]]*EF$56/$DN$56)*$DV$55</f>
        <v>#DIV/0!</v>
      </c>
      <c r="EG85" s="433" t="e">
        <f>(Tabla241057[[#This Row],[Columna4]]*EG$56/$DN$56)*$DV$55</f>
        <v>#DIV/0!</v>
      </c>
      <c r="EH85" s="433" t="e">
        <f>(Tabla241057[[#This Row],[Columna4]]*EH$56/$DN$56)*$DV$55</f>
        <v>#DIV/0!</v>
      </c>
      <c r="EJ85" s="529" t="s">
        <v>335</v>
      </c>
      <c r="EK85" s="529" t="e">
        <f>SUM(EL85:EL101)</f>
        <v>#DIV/0!</v>
      </c>
      <c r="EL85" s="414" t="e">
        <f>$AS$82</f>
        <v>#DIV/0!</v>
      </c>
      <c r="EM85" s="242" t="str">
        <f>Tabla24[[#This Row],[Columna1]]</f>
        <v>C27</v>
      </c>
      <c r="EN85" s="433" t="e">
        <f>Tabla24105711[[#This Row],[Columna3]]/7</f>
        <v>#DIV/0!</v>
      </c>
      <c r="EO85" s="433" t="e">
        <f>Tabla24105711[[#This Row],[Columna4]]/4.2</f>
        <v>#DIV/0!</v>
      </c>
      <c r="EP85" s="433" t="e">
        <f>Tabla241057[[#This Row],[Columna16]]</f>
        <v>#DIV/0!</v>
      </c>
      <c r="EQ85" s="433" t="e">
        <f>(Tabla24105711[[#This Row],[Columna4]]*EQ$56/$EH$56)*$EP$55</f>
        <v>#DIV/0!</v>
      </c>
      <c r="ER85" s="433" t="e">
        <f>(Tabla24105711[[#This Row],[Columna4]]*ER$56/$EH$56)*$EP$55</f>
        <v>#DIV/0!</v>
      </c>
      <c r="ES85" s="433" t="e">
        <f>(Tabla24105711[[#This Row],[Columna4]]*ES$56/$EH$56)*$EP$55</f>
        <v>#DIV/0!</v>
      </c>
      <c r="ET85" s="433" t="e">
        <f>(Tabla24105711[[#This Row],[Columna4]]*ET$56/$EH$56)*$EP$55</f>
        <v>#DIV/0!</v>
      </c>
      <c r="EU85" s="433" t="e">
        <f>(Tabla24105711[[#This Row],[Columna4]]*EU$56/$EH$56)*$EP$55</f>
        <v>#DIV/0!</v>
      </c>
      <c r="EV85" s="433" t="e">
        <f>(Tabla24105711[[#This Row],[Columna4]]*EV$56/$EH$56)*$EP$55</f>
        <v>#DIV/0!</v>
      </c>
      <c r="EW85" s="433" t="e">
        <f>(Tabla24105711[[#This Row],[Columna4]]*EW$56/$EH$56)*$EP$55</f>
        <v>#DIV/0!</v>
      </c>
      <c r="EX85" s="433" t="e">
        <f>(Tabla24105711[[#This Row],[Columna4]]*EX$56/$EH$56)*$EP$55</f>
        <v>#DIV/0!</v>
      </c>
      <c r="EY85" s="433" t="e">
        <f>(Tabla24105711[[#This Row],[Columna4]]*EY$56/$EH$56)*$EP$55</f>
        <v>#DIV/0!</v>
      </c>
      <c r="EZ85" s="433" t="e">
        <f>(Tabla24105711[[#This Row],[Columna4]]*EZ$56/$EH$56)*$EP$55</f>
        <v>#DIV/0!</v>
      </c>
      <c r="FA85" s="433" t="e">
        <f>(Tabla24105711[[#This Row],[Columna4]]*FA$56/$EH$56)*$EP$55</f>
        <v>#DIV/0!</v>
      </c>
      <c r="FB85" s="433" t="e">
        <f>(Tabla24105711[[#This Row],[Columna4]]*FB$56/$EH$56)*$EP$55</f>
        <v>#DIV/0!</v>
      </c>
      <c r="FD85" s="397" t="s">
        <v>124</v>
      </c>
      <c r="FE85" s="399" t="s">
        <v>121</v>
      </c>
      <c r="FF85" s="400">
        <f t="shared" ref="FF85:FQ91" si="315">+FF260/FF$376</f>
        <v>0</v>
      </c>
      <c r="FG85" s="400">
        <f t="shared" si="315"/>
        <v>0</v>
      </c>
      <c r="FH85" s="400">
        <f t="shared" si="315"/>
        <v>0</v>
      </c>
      <c r="FI85" s="400">
        <f t="shared" si="315"/>
        <v>0</v>
      </c>
      <c r="FJ85" s="400">
        <f t="shared" si="315"/>
        <v>0</v>
      </c>
      <c r="FK85" s="400">
        <f t="shared" si="315"/>
        <v>0</v>
      </c>
      <c r="FL85" s="400">
        <f t="shared" si="315"/>
        <v>0</v>
      </c>
      <c r="FM85" s="400">
        <f t="shared" si="315"/>
        <v>0</v>
      </c>
      <c r="FN85" s="400">
        <f t="shared" si="315"/>
        <v>0</v>
      </c>
      <c r="FO85" s="400">
        <f t="shared" si="315"/>
        <v>0</v>
      </c>
      <c r="FP85" s="400">
        <f t="shared" si="315"/>
        <v>0</v>
      </c>
      <c r="FQ85" s="400">
        <f t="shared" si="315"/>
        <v>0</v>
      </c>
      <c r="FR85" s="363">
        <f t="shared" si="197"/>
        <v>0</v>
      </c>
      <c r="FS85" s="260" t="e">
        <f t="shared" si="198"/>
        <v>#DIV/0!</v>
      </c>
      <c r="FV85" s="357" t="s">
        <v>739</v>
      </c>
      <c r="FW85" s="366">
        <f t="shared" ref="FW85:GH85" si="316">$HK$18</f>
        <v>-1.6666666666666666E-2</v>
      </c>
      <c r="FX85" s="366">
        <f t="shared" si="316"/>
        <v>-1.6666666666666666E-2</v>
      </c>
      <c r="FY85" s="366">
        <f t="shared" si="316"/>
        <v>-1.6666666666666666E-2</v>
      </c>
      <c r="FZ85" s="366">
        <f t="shared" si="316"/>
        <v>-1.6666666666666666E-2</v>
      </c>
      <c r="GA85" s="366">
        <f t="shared" si="316"/>
        <v>-1.6666666666666666E-2</v>
      </c>
      <c r="GB85" s="366">
        <f t="shared" si="316"/>
        <v>-1.6666666666666666E-2</v>
      </c>
      <c r="GC85" s="366">
        <f t="shared" si="316"/>
        <v>-1.6666666666666666E-2</v>
      </c>
      <c r="GD85" s="366">
        <f t="shared" si="316"/>
        <v>-1.6666666666666666E-2</v>
      </c>
      <c r="GE85" s="366">
        <f t="shared" si="316"/>
        <v>-1.6666666666666666E-2</v>
      </c>
      <c r="GF85" s="366">
        <f t="shared" si="316"/>
        <v>-1.6666666666666666E-2</v>
      </c>
      <c r="GG85" s="366">
        <f t="shared" si="316"/>
        <v>-1.6666666666666666E-2</v>
      </c>
      <c r="GH85" s="366">
        <f t="shared" si="316"/>
        <v>-1.6666666666666666E-2</v>
      </c>
      <c r="GI85" s="309">
        <f t="shared" ref="GI85" si="317">SUM(FW85:GH85)</f>
        <v>-0.19999999999999998</v>
      </c>
      <c r="GJ85" s="262" t="e">
        <f>GI85/$GI$6</f>
        <v>#DIV/0!</v>
      </c>
      <c r="HD85" s="65" t="s">
        <v>556</v>
      </c>
      <c r="HE85" s="66">
        <v>0</v>
      </c>
      <c r="HF85" s="67">
        <f t="shared" si="310"/>
        <v>0</v>
      </c>
      <c r="HG85" s="68">
        <f t="shared" si="311"/>
        <v>0</v>
      </c>
      <c r="HH85" s="69">
        <v>1</v>
      </c>
      <c r="HI85" s="367">
        <v>0</v>
      </c>
      <c r="HJ85" s="143"/>
      <c r="HM85" s="283"/>
      <c r="HN85" s="283"/>
      <c r="HO85" s="285"/>
      <c r="HP85" s="283"/>
      <c r="HQ85" s="286"/>
      <c r="HR85" s="283"/>
      <c r="HS85" s="286"/>
      <c r="HT85" s="283"/>
      <c r="HU85" s="286"/>
      <c r="HV85" s="283"/>
      <c r="HW85" s="286"/>
      <c r="HX85" s="283"/>
      <c r="HY85" s="286"/>
      <c r="HZ85" s="283"/>
      <c r="IA85" s="286"/>
      <c r="IB85" s="283"/>
      <c r="IC85" s="286"/>
      <c r="ID85" s="283"/>
      <c r="IE85" s="286"/>
      <c r="IF85" s="283"/>
      <c r="IG85" s="286"/>
      <c r="IH85" s="283"/>
      <c r="II85" s="286"/>
      <c r="IJ85" s="283"/>
      <c r="IK85" s="286"/>
      <c r="IL85" s="283"/>
      <c r="IM85" s="288"/>
    </row>
    <row r="86" spans="39:247" ht="14.4" customHeight="1" x14ac:dyDescent="0.3">
      <c r="AM86" s="412">
        <f t="shared" si="270"/>
        <v>0</v>
      </c>
      <c r="AN86" s="412">
        <f t="shared" si="271"/>
        <v>0</v>
      </c>
      <c r="AO86" s="412">
        <f t="shared" si="272"/>
        <v>0</v>
      </c>
      <c r="AP86" s="412">
        <f t="shared" si="273"/>
        <v>0</v>
      </c>
      <c r="AQ86" s="413" t="s">
        <v>821</v>
      </c>
      <c r="AR86" s="297">
        <f t="shared" si="274"/>
        <v>0</v>
      </c>
      <c r="AS86" s="414" t="e">
        <f t="shared" si="267"/>
        <v>#DIV/0!</v>
      </c>
      <c r="AT86" s="529"/>
      <c r="AU86" s="529"/>
      <c r="AV86" s="299">
        <v>0</v>
      </c>
      <c r="AW86" s="300">
        <v>0</v>
      </c>
      <c r="AX86" s="301"/>
      <c r="BH86" s="529"/>
      <c r="BI86" s="529"/>
      <c r="BJ86" s="414" t="e">
        <f>$AS$83</f>
        <v>#DIV/0!</v>
      </c>
      <c r="BK86" s="242" t="str">
        <f t="shared" si="277"/>
        <v>C28</v>
      </c>
      <c r="BL86" s="433">
        <f>Tabla24[[#This Row],[Columna3]]/7</f>
        <v>0</v>
      </c>
      <c r="BM86" s="433">
        <f>Tabla24[[#This Row],[Columna4]]/4.2</f>
        <v>0</v>
      </c>
      <c r="BN86" s="433">
        <f t="shared" si="278"/>
        <v>0</v>
      </c>
      <c r="BO86" s="433">
        <f t="shared" si="279"/>
        <v>0</v>
      </c>
      <c r="BP86" s="433">
        <f t="shared" si="280"/>
        <v>0</v>
      </c>
      <c r="BQ86" s="433">
        <f t="shared" si="281"/>
        <v>0</v>
      </c>
      <c r="BR86" s="433">
        <f t="shared" si="282"/>
        <v>0</v>
      </c>
      <c r="BS86" s="433">
        <f t="shared" si="283"/>
        <v>0</v>
      </c>
      <c r="BT86" s="433">
        <f t="shared" si="284"/>
        <v>0</v>
      </c>
      <c r="BU86" s="433">
        <f t="shared" si="285"/>
        <v>0</v>
      </c>
      <c r="BV86" s="433">
        <f t="shared" si="286"/>
        <v>0</v>
      </c>
      <c r="BW86" s="433">
        <f t="shared" si="287"/>
        <v>0</v>
      </c>
      <c r="BX86" s="433">
        <f t="shared" si="288"/>
        <v>0</v>
      </c>
      <c r="BY86" s="433">
        <f t="shared" si="289"/>
        <v>0</v>
      </c>
      <c r="BZ86" s="433">
        <f t="shared" si="290"/>
        <v>0</v>
      </c>
      <c r="CB86" s="529"/>
      <c r="CC86" s="529"/>
      <c r="CD86" s="414" t="e">
        <f>$AS$83</f>
        <v>#DIV/0!</v>
      </c>
      <c r="CE86" s="242" t="str">
        <f>Tabla24[[#This Row],[Columna1]]</f>
        <v>C28</v>
      </c>
      <c r="CF86" s="433">
        <f>Tabla2410[[#This Row],[Columna3]]/7</f>
        <v>0</v>
      </c>
      <c r="CG86" s="433">
        <f>Tabla2410[[#This Row],[Columna4]]/4.2</f>
        <v>0</v>
      </c>
      <c r="CH86" s="433">
        <f>Tabla24[[#This Row],[Columna16]]</f>
        <v>0</v>
      </c>
      <c r="CI86" s="433" t="e">
        <f>(Tabla2410[[#This Row],[Columna4]]*CI$56/$BZ$56)*$CH$55</f>
        <v>#DIV/0!</v>
      </c>
      <c r="CJ86" s="433" t="e">
        <f>(Tabla2410[[#This Row],[Columna4]]*CJ$56/$BZ$56)*$CH$55</f>
        <v>#DIV/0!</v>
      </c>
      <c r="CK86" s="433" t="e">
        <f>(Tabla2410[[#This Row],[Columna4]]*CK$56/$BZ$56)*$CH$55</f>
        <v>#DIV/0!</v>
      </c>
      <c r="CL86" s="433" t="e">
        <f>(Tabla2410[[#This Row],[Columna4]]*CL$56/$BZ$56)*$CH$55</f>
        <v>#DIV/0!</v>
      </c>
      <c r="CM86" s="433" t="e">
        <f>(Tabla2410[[#This Row],[Columna4]]*CM$56/$BZ$56)*$CH$55</f>
        <v>#DIV/0!</v>
      </c>
      <c r="CN86" s="433" t="e">
        <f>(Tabla2410[[#This Row],[Columna4]]*CN$56/$BZ$56)*$CH$55</f>
        <v>#DIV/0!</v>
      </c>
      <c r="CO86" s="433" t="e">
        <f>(Tabla2410[[#This Row],[Columna4]]*CO$56/$BZ$56)*$CH$55</f>
        <v>#DIV/0!</v>
      </c>
      <c r="CP86" s="433" t="e">
        <f>(Tabla2410[[#This Row],[Columna4]]*CP$56/$BZ$56)*$CH$55</f>
        <v>#DIV/0!</v>
      </c>
      <c r="CQ86" s="433" t="e">
        <f>(Tabla2410[[#This Row],[Columna4]]*CQ$56/$BZ$56)*$CH$55</f>
        <v>#DIV/0!</v>
      </c>
      <c r="CR86" s="433" t="e">
        <f>(Tabla2410[[#This Row],[Columna4]]*CR$56/$BZ$56)*$CH$55</f>
        <v>#DIV/0!</v>
      </c>
      <c r="CS86" s="433" t="e">
        <f>(Tabla2410[[#This Row],[Columna4]]*CS$56/$BZ$56)*$CH$55</f>
        <v>#DIV/0!</v>
      </c>
      <c r="CT86" s="433" t="e">
        <f>(Tabla2410[[#This Row],[Columna4]]*CT$56/$BZ$56)*$CH$55</f>
        <v>#DIV/0!</v>
      </c>
      <c r="CV86" s="529"/>
      <c r="CW86" s="529"/>
      <c r="CX86" s="414" t="e">
        <f>$AS$83</f>
        <v>#DIV/0!</v>
      </c>
      <c r="CY86" s="242" t="str">
        <f>Tabla24[[#This Row],[Columna1]]</f>
        <v>C28</v>
      </c>
      <c r="CZ86" s="433" t="e">
        <f>Tabla24105[[#This Row],[Columna3]]/7</f>
        <v>#DIV/0!</v>
      </c>
      <c r="DA86" s="433" t="e">
        <f>Tabla24105[[#This Row],[Columna4]]/4.2</f>
        <v>#DIV/0!</v>
      </c>
      <c r="DB86" s="433" t="e">
        <f>Tabla2410[[#This Row],[Columna16]]</f>
        <v>#DIV/0!</v>
      </c>
      <c r="DC86" s="433" t="e">
        <f>(Tabla24105[[#This Row],[Columna4]]*DC$56/$CT$56)*$DB$55</f>
        <v>#DIV/0!</v>
      </c>
      <c r="DD86" s="433" t="e">
        <f>(Tabla24105[[#This Row],[Columna4]]*DD$56/$CT$56)*$DB$55</f>
        <v>#DIV/0!</v>
      </c>
      <c r="DE86" s="433" t="e">
        <f>(Tabla24105[[#This Row],[Columna4]]*DE$56/$CT$56)*$DB$55</f>
        <v>#DIV/0!</v>
      </c>
      <c r="DF86" s="433" t="e">
        <f>(Tabla24105[[#This Row],[Columna4]]*DF$56/$CT$56)*$DB$55</f>
        <v>#DIV/0!</v>
      </c>
      <c r="DG86" s="433" t="e">
        <f>(Tabla24105[[#This Row],[Columna4]]*DG$56/$CT$56)*$DB$55</f>
        <v>#DIV/0!</v>
      </c>
      <c r="DH86" s="433" t="e">
        <f>(Tabla24105[[#This Row],[Columna4]]*DH$56/$CT$56)*$DB$55</f>
        <v>#DIV/0!</v>
      </c>
      <c r="DI86" s="433" t="e">
        <f>(Tabla24105[[#This Row],[Columna4]]*DI$56/$CT$56)*$DB$55</f>
        <v>#DIV/0!</v>
      </c>
      <c r="DJ86" s="433" t="e">
        <f>(Tabla24105[[#This Row],[Columna4]]*DJ$56/$CT$56)*$DB$55</f>
        <v>#DIV/0!</v>
      </c>
      <c r="DK86" s="433" t="e">
        <f>(Tabla24105[[#This Row],[Columna4]]*DK$56/$CT$56)*$DB$55</f>
        <v>#DIV/0!</v>
      </c>
      <c r="DL86" s="433" t="e">
        <f>(Tabla24105[[#This Row],[Columna4]]*DL$56/$CT$56)*$DB$55</f>
        <v>#DIV/0!</v>
      </c>
      <c r="DM86" s="433" t="e">
        <f>(Tabla24105[[#This Row],[Columna4]]*DM$56/$CT$56)*$DB$55</f>
        <v>#DIV/0!</v>
      </c>
      <c r="DN86" s="433" t="e">
        <f>(Tabla24105[[#This Row],[Columna4]]*DN$56/$CT$56)*$DB$55</f>
        <v>#DIV/0!</v>
      </c>
      <c r="DP86" s="529"/>
      <c r="DQ86" s="529"/>
      <c r="DR86" s="414" t="e">
        <f>$AS$83</f>
        <v>#DIV/0!</v>
      </c>
      <c r="DS86" s="242" t="str">
        <f>Tabla24[[#This Row],[Columna1]]</f>
        <v>C28</v>
      </c>
      <c r="DT86" s="433" t="e">
        <f>Tabla241057[[#This Row],[Columna3]]/7</f>
        <v>#DIV/0!</v>
      </c>
      <c r="DU86" s="433" t="e">
        <f>Tabla241057[[#This Row],[Columna4]]/4.2</f>
        <v>#DIV/0!</v>
      </c>
      <c r="DV86" s="433" t="e">
        <f>Tabla24105[[#This Row],[Columna16]]</f>
        <v>#DIV/0!</v>
      </c>
      <c r="DW86" s="433" t="e">
        <f>(Tabla241057[[#This Row],[Columna4]]*DW$56/$DN$56)*$DV$55</f>
        <v>#DIV/0!</v>
      </c>
      <c r="DX86" s="433" t="e">
        <f>(Tabla241057[[#This Row],[Columna4]]*DX$56/$DN$56)*$DV$55</f>
        <v>#DIV/0!</v>
      </c>
      <c r="DY86" s="433" t="e">
        <f>(Tabla241057[[#This Row],[Columna4]]*DY$56/$DN$56)*$DV$55</f>
        <v>#DIV/0!</v>
      </c>
      <c r="DZ86" s="433" t="e">
        <f>(Tabla241057[[#This Row],[Columna4]]*DZ$56/$DN$56)*$DV$55</f>
        <v>#DIV/0!</v>
      </c>
      <c r="EA86" s="433" t="e">
        <f>(Tabla241057[[#This Row],[Columna4]]*EA$56/$DN$56)*$DV$55</f>
        <v>#DIV/0!</v>
      </c>
      <c r="EB86" s="433" t="e">
        <f>(Tabla241057[[#This Row],[Columna4]]*EB$56/$DN$56)*$DV$55</f>
        <v>#DIV/0!</v>
      </c>
      <c r="EC86" s="433" t="e">
        <f>(Tabla241057[[#This Row],[Columna4]]*EC$56/$DN$56)*$DV$55</f>
        <v>#DIV/0!</v>
      </c>
      <c r="ED86" s="433" t="e">
        <f>(Tabla241057[[#This Row],[Columna4]]*ED$56/$DN$56)*$DV$55</f>
        <v>#DIV/0!</v>
      </c>
      <c r="EE86" s="433" t="e">
        <f>(Tabla241057[[#This Row],[Columna4]]*EE$56/$DN$56)*$DV$55</f>
        <v>#DIV/0!</v>
      </c>
      <c r="EF86" s="433" t="e">
        <f>(Tabla241057[[#This Row],[Columna4]]*EF$56/$DN$56)*$DV$55</f>
        <v>#DIV/0!</v>
      </c>
      <c r="EG86" s="433" t="e">
        <f>(Tabla241057[[#This Row],[Columna4]]*EG$56/$DN$56)*$DV$55</f>
        <v>#DIV/0!</v>
      </c>
      <c r="EH86" s="433" t="e">
        <f>(Tabla241057[[#This Row],[Columna4]]*EH$56/$DN$56)*$DV$55</f>
        <v>#DIV/0!</v>
      </c>
      <c r="EJ86" s="529"/>
      <c r="EK86" s="529"/>
      <c r="EL86" s="414" t="e">
        <f>$AS$83</f>
        <v>#DIV/0!</v>
      </c>
      <c r="EM86" s="242" t="str">
        <f>Tabla24[[#This Row],[Columna1]]</f>
        <v>C28</v>
      </c>
      <c r="EN86" s="433" t="e">
        <f>Tabla24105711[[#This Row],[Columna3]]/7</f>
        <v>#DIV/0!</v>
      </c>
      <c r="EO86" s="433" t="e">
        <f>Tabla24105711[[#This Row],[Columna4]]/4.2</f>
        <v>#DIV/0!</v>
      </c>
      <c r="EP86" s="433" t="e">
        <f>Tabla241057[[#This Row],[Columna16]]</f>
        <v>#DIV/0!</v>
      </c>
      <c r="EQ86" s="433" t="e">
        <f>(Tabla24105711[[#This Row],[Columna4]]*EQ$56/$EH$56)*$EP$55</f>
        <v>#DIV/0!</v>
      </c>
      <c r="ER86" s="433" t="e">
        <f>(Tabla24105711[[#This Row],[Columna4]]*ER$56/$EH$56)*$EP$55</f>
        <v>#DIV/0!</v>
      </c>
      <c r="ES86" s="433" t="e">
        <f>(Tabla24105711[[#This Row],[Columna4]]*ES$56/$EH$56)*$EP$55</f>
        <v>#DIV/0!</v>
      </c>
      <c r="ET86" s="433" t="e">
        <f>(Tabla24105711[[#This Row],[Columna4]]*ET$56/$EH$56)*$EP$55</f>
        <v>#DIV/0!</v>
      </c>
      <c r="EU86" s="433" t="e">
        <f>(Tabla24105711[[#This Row],[Columna4]]*EU$56/$EH$56)*$EP$55</f>
        <v>#DIV/0!</v>
      </c>
      <c r="EV86" s="433" t="e">
        <f>(Tabla24105711[[#This Row],[Columna4]]*EV$56/$EH$56)*$EP$55</f>
        <v>#DIV/0!</v>
      </c>
      <c r="EW86" s="433" t="e">
        <f>(Tabla24105711[[#This Row],[Columna4]]*EW$56/$EH$56)*$EP$55</f>
        <v>#DIV/0!</v>
      </c>
      <c r="EX86" s="433" t="e">
        <f>(Tabla24105711[[#This Row],[Columna4]]*EX$56/$EH$56)*$EP$55</f>
        <v>#DIV/0!</v>
      </c>
      <c r="EY86" s="433" t="e">
        <f>(Tabla24105711[[#This Row],[Columna4]]*EY$56/$EH$56)*$EP$55</f>
        <v>#DIV/0!</v>
      </c>
      <c r="EZ86" s="433" t="e">
        <f>(Tabla24105711[[#This Row],[Columna4]]*EZ$56/$EH$56)*$EP$55</f>
        <v>#DIV/0!</v>
      </c>
      <c r="FA86" s="433" t="e">
        <f>(Tabla24105711[[#This Row],[Columna4]]*FA$56/$EH$56)*$EP$55</f>
        <v>#DIV/0!</v>
      </c>
      <c r="FB86" s="433" t="e">
        <f>(Tabla24105711[[#This Row],[Columna4]]*FB$56/$EH$56)*$EP$55</f>
        <v>#DIV/0!</v>
      </c>
      <c r="FD86" s="397" t="s">
        <v>126</v>
      </c>
      <c r="FE86" s="399" t="s">
        <v>123</v>
      </c>
      <c r="FF86" s="400">
        <f t="shared" si="315"/>
        <v>0</v>
      </c>
      <c r="FG86" s="400">
        <f t="shared" si="315"/>
        <v>0</v>
      </c>
      <c r="FH86" s="400">
        <f t="shared" si="315"/>
        <v>0</v>
      </c>
      <c r="FI86" s="400">
        <f t="shared" si="315"/>
        <v>0</v>
      </c>
      <c r="FJ86" s="400">
        <f t="shared" si="315"/>
        <v>0</v>
      </c>
      <c r="FK86" s="400">
        <f t="shared" si="315"/>
        <v>0</v>
      </c>
      <c r="FL86" s="400">
        <f t="shared" si="315"/>
        <v>0</v>
      </c>
      <c r="FM86" s="400">
        <f t="shared" si="315"/>
        <v>0</v>
      </c>
      <c r="FN86" s="400">
        <f t="shared" si="315"/>
        <v>0</v>
      </c>
      <c r="FO86" s="400">
        <f t="shared" si="315"/>
        <v>0</v>
      </c>
      <c r="FP86" s="400">
        <f t="shared" si="315"/>
        <v>0</v>
      </c>
      <c r="FQ86" s="400">
        <f t="shared" si="315"/>
        <v>0</v>
      </c>
      <c r="FR86" s="363">
        <f t="shared" si="197"/>
        <v>0</v>
      </c>
      <c r="FS86" s="260" t="e">
        <f t="shared" si="198"/>
        <v>#DIV/0!</v>
      </c>
      <c r="FX86" s="351"/>
      <c r="FY86" s="351"/>
      <c r="FZ86" s="351"/>
      <c r="GA86" s="351"/>
      <c r="GB86" s="351"/>
      <c r="GC86" s="351"/>
      <c r="GD86" s="351"/>
      <c r="GE86" s="351"/>
      <c r="GF86" s="351"/>
      <c r="GG86" s="351"/>
      <c r="GH86" s="351"/>
      <c r="GJ86" s="262"/>
      <c r="HD86" s="65" t="s">
        <v>557</v>
      </c>
      <c r="HE86" s="66">
        <v>0</v>
      </c>
      <c r="HF86" s="67">
        <f t="shared" si="310"/>
        <v>0</v>
      </c>
      <c r="HG86" s="68">
        <f t="shared" si="311"/>
        <v>0</v>
      </c>
      <c r="HH86" s="69">
        <v>1</v>
      </c>
      <c r="HI86" s="367">
        <v>0</v>
      </c>
      <c r="HM86" s="283"/>
      <c r="HN86" s="283"/>
      <c r="HO86" s="285"/>
      <c r="HP86" s="283"/>
      <c r="HQ86" s="286"/>
      <c r="HR86" s="283"/>
      <c r="HS86" s="286"/>
      <c r="HT86" s="283"/>
      <c r="HU86" s="286"/>
      <c r="HV86" s="283"/>
      <c r="HW86" s="286"/>
      <c r="HX86" s="283"/>
      <c r="HY86" s="286"/>
      <c r="HZ86" s="283"/>
      <c r="IA86" s="286"/>
      <c r="IB86" s="283"/>
      <c r="IC86" s="286"/>
      <c r="ID86" s="283"/>
      <c r="IE86" s="286"/>
      <c r="IF86" s="283"/>
      <c r="IG86" s="286"/>
      <c r="IH86" s="283"/>
      <c r="II86" s="286"/>
      <c r="IJ86" s="283"/>
      <c r="IK86" s="286"/>
      <c r="IL86" s="283"/>
      <c r="IM86" s="288"/>
    </row>
    <row r="87" spans="39:247" ht="14.4" customHeight="1" x14ac:dyDescent="0.3">
      <c r="AM87" s="412">
        <f t="shared" si="270"/>
        <v>0</v>
      </c>
      <c r="AN87" s="412">
        <f t="shared" si="271"/>
        <v>0</v>
      </c>
      <c r="AO87" s="412">
        <f t="shared" si="272"/>
        <v>0</v>
      </c>
      <c r="AP87" s="412">
        <f t="shared" si="273"/>
        <v>0</v>
      </c>
      <c r="AQ87" s="413" t="s">
        <v>824</v>
      </c>
      <c r="AR87" s="297">
        <f t="shared" si="274"/>
        <v>0</v>
      </c>
      <c r="AS87" s="414" t="e">
        <f t="shared" si="267"/>
        <v>#DIV/0!</v>
      </c>
      <c r="AT87" s="529"/>
      <c r="AU87" s="529"/>
      <c r="AV87" s="299">
        <v>0</v>
      </c>
      <c r="AW87" s="300">
        <v>0</v>
      </c>
      <c r="AX87" s="301"/>
      <c r="BH87" s="529"/>
      <c r="BI87" s="529"/>
      <c r="BJ87" s="414" t="e">
        <f>$AS$84</f>
        <v>#DIV/0!</v>
      </c>
      <c r="BK87" s="242" t="str">
        <f t="shared" si="277"/>
        <v>C29</v>
      </c>
      <c r="BL87" s="433">
        <f>Tabla24[[#This Row],[Columna3]]/7</f>
        <v>0</v>
      </c>
      <c r="BM87" s="433">
        <f>Tabla24[[#This Row],[Columna4]]/4.2</f>
        <v>0</v>
      </c>
      <c r="BN87" s="433">
        <f t="shared" si="278"/>
        <v>0</v>
      </c>
      <c r="BO87" s="433">
        <f t="shared" si="279"/>
        <v>0</v>
      </c>
      <c r="BP87" s="433">
        <f t="shared" si="280"/>
        <v>0</v>
      </c>
      <c r="BQ87" s="433">
        <f t="shared" si="281"/>
        <v>0</v>
      </c>
      <c r="BR87" s="433">
        <f t="shared" si="282"/>
        <v>0</v>
      </c>
      <c r="BS87" s="433">
        <f t="shared" si="283"/>
        <v>0</v>
      </c>
      <c r="BT87" s="433">
        <f t="shared" si="284"/>
        <v>0</v>
      </c>
      <c r="BU87" s="433">
        <f t="shared" si="285"/>
        <v>0</v>
      </c>
      <c r="BV87" s="433">
        <f t="shared" si="286"/>
        <v>0</v>
      </c>
      <c r="BW87" s="433">
        <f t="shared" si="287"/>
        <v>0</v>
      </c>
      <c r="BX87" s="433">
        <f t="shared" si="288"/>
        <v>0</v>
      </c>
      <c r="BY87" s="433">
        <f t="shared" si="289"/>
        <v>0</v>
      </c>
      <c r="BZ87" s="433">
        <f t="shared" si="290"/>
        <v>0</v>
      </c>
      <c r="CB87" s="529"/>
      <c r="CC87" s="529"/>
      <c r="CD87" s="414" t="e">
        <f>$AS$84</f>
        <v>#DIV/0!</v>
      </c>
      <c r="CE87" s="242" t="str">
        <f>Tabla24[[#This Row],[Columna1]]</f>
        <v>C29</v>
      </c>
      <c r="CF87" s="433">
        <f>Tabla2410[[#This Row],[Columna3]]/7</f>
        <v>0</v>
      </c>
      <c r="CG87" s="433">
        <f>Tabla2410[[#This Row],[Columna4]]/4.2</f>
        <v>0</v>
      </c>
      <c r="CH87" s="433">
        <f>Tabla24[[#This Row],[Columna16]]</f>
        <v>0</v>
      </c>
      <c r="CI87" s="433" t="e">
        <f>(Tabla2410[[#This Row],[Columna4]]*CI$56/$BZ$56)*$CH$55</f>
        <v>#DIV/0!</v>
      </c>
      <c r="CJ87" s="433" t="e">
        <f>(Tabla2410[[#This Row],[Columna4]]*CJ$56/$BZ$56)*$CH$55</f>
        <v>#DIV/0!</v>
      </c>
      <c r="CK87" s="433" t="e">
        <f>(Tabla2410[[#This Row],[Columna4]]*CK$56/$BZ$56)*$CH$55</f>
        <v>#DIV/0!</v>
      </c>
      <c r="CL87" s="433" t="e">
        <f>(Tabla2410[[#This Row],[Columna4]]*CL$56/$BZ$56)*$CH$55</f>
        <v>#DIV/0!</v>
      </c>
      <c r="CM87" s="433" t="e">
        <f>(Tabla2410[[#This Row],[Columna4]]*CM$56/$BZ$56)*$CH$55</f>
        <v>#DIV/0!</v>
      </c>
      <c r="CN87" s="433" t="e">
        <f>(Tabla2410[[#This Row],[Columna4]]*CN$56/$BZ$56)*$CH$55</f>
        <v>#DIV/0!</v>
      </c>
      <c r="CO87" s="433" t="e">
        <f>(Tabla2410[[#This Row],[Columna4]]*CO$56/$BZ$56)*$CH$55</f>
        <v>#DIV/0!</v>
      </c>
      <c r="CP87" s="433" t="e">
        <f>(Tabla2410[[#This Row],[Columna4]]*CP$56/$BZ$56)*$CH$55</f>
        <v>#DIV/0!</v>
      </c>
      <c r="CQ87" s="433" t="e">
        <f>(Tabla2410[[#This Row],[Columna4]]*CQ$56/$BZ$56)*$CH$55</f>
        <v>#DIV/0!</v>
      </c>
      <c r="CR87" s="433" t="e">
        <f>(Tabla2410[[#This Row],[Columna4]]*CR$56/$BZ$56)*$CH$55</f>
        <v>#DIV/0!</v>
      </c>
      <c r="CS87" s="433" t="e">
        <f>(Tabla2410[[#This Row],[Columna4]]*CS$56/$BZ$56)*$CH$55</f>
        <v>#DIV/0!</v>
      </c>
      <c r="CT87" s="433" t="e">
        <f>(Tabla2410[[#This Row],[Columna4]]*CT$56/$BZ$56)*$CH$55</f>
        <v>#DIV/0!</v>
      </c>
      <c r="CV87" s="529"/>
      <c r="CW87" s="529"/>
      <c r="CX87" s="414" t="e">
        <f>$AS$84</f>
        <v>#DIV/0!</v>
      </c>
      <c r="CY87" s="242" t="str">
        <f>Tabla24[[#This Row],[Columna1]]</f>
        <v>C29</v>
      </c>
      <c r="CZ87" s="433" t="e">
        <f>Tabla24105[[#This Row],[Columna3]]/7</f>
        <v>#DIV/0!</v>
      </c>
      <c r="DA87" s="433" t="e">
        <f>Tabla24105[[#This Row],[Columna4]]/4.2</f>
        <v>#DIV/0!</v>
      </c>
      <c r="DB87" s="433" t="e">
        <f>Tabla2410[[#This Row],[Columna16]]</f>
        <v>#DIV/0!</v>
      </c>
      <c r="DC87" s="433" t="e">
        <f>(Tabla24105[[#This Row],[Columna4]]*DC$56/$CT$56)*$DB$55</f>
        <v>#DIV/0!</v>
      </c>
      <c r="DD87" s="433" t="e">
        <f>(Tabla24105[[#This Row],[Columna4]]*DD$56/$CT$56)*$DB$55</f>
        <v>#DIV/0!</v>
      </c>
      <c r="DE87" s="433" t="e">
        <f>(Tabla24105[[#This Row],[Columna4]]*DE$56/$CT$56)*$DB$55</f>
        <v>#DIV/0!</v>
      </c>
      <c r="DF87" s="433" t="e">
        <f>(Tabla24105[[#This Row],[Columna4]]*DF$56/$CT$56)*$DB$55</f>
        <v>#DIV/0!</v>
      </c>
      <c r="DG87" s="433" t="e">
        <f>(Tabla24105[[#This Row],[Columna4]]*DG$56/$CT$56)*$DB$55</f>
        <v>#DIV/0!</v>
      </c>
      <c r="DH87" s="433" t="e">
        <f>(Tabla24105[[#This Row],[Columna4]]*DH$56/$CT$56)*$DB$55</f>
        <v>#DIV/0!</v>
      </c>
      <c r="DI87" s="433" t="e">
        <f>(Tabla24105[[#This Row],[Columna4]]*DI$56/$CT$56)*$DB$55</f>
        <v>#DIV/0!</v>
      </c>
      <c r="DJ87" s="433" t="e">
        <f>(Tabla24105[[#This Row],[Columna4]]*DJ$56/$CT$56)*$DB$55</f>
        <v>#DIV/0!</v>
      </c>
      <c r="DK87" s="433" t="e">
        <f>(Tabla24105[[#This Row],[Columna4]]*DK$56/$CT$56)*$DB$55</f>
        <v>#DIV/0!</v>
      </c>
      <c r="DL87" s="433" t="e">
        <f>(Tabla24105[[#This Row],[Columna4]]*DL$56/$CT$56)*$DB$55</f>
        <v>#DIV/0!</v>
      </c>
      <c r="DM87" s="433" t="e">
        <f>(Tabla24105[[#This Row],[Columna4]]*DM$56/$CT$56)*$DB$55</f>
        <v>#DIV/0!</v>
      </c>
      <c r="DN87" s="433" t="e">
        <f>(Tabla24105[[#This Row],[Columna4]]*DN$56/$CT$56)*$DB$55</f>
        <v>#DIV/0!</v>
      </c>
      <c r="DP87" s="529"/>
      <c r="DQ87" s="529"/>
      <c r="DR87" s="414" t="e">
        <f>$AS$84</f>
        <v>#DIV/0!</v>
      </c>
      <c r="DS87" s="242" t="str">
        <f>Tabla24[[#This Row],[Columna1]]</f>
        <v>C29</v>
      </c>
      <c r="DT87" s="433" t="e">
        <f>Tabla241057[[#This Row],[Columna3]]/7</f>
        <v>#DIV/0!</v>
      </c>
      <c r="DU87" s="433" t="e">
        <f>Tabla241057[[#This Row],[Columna4]]/4.2</f>
        <v>#DIV/0!</v>
      </c>
      <c r="DV87" s="433" t="e">
        <f>Tabla24105[[#This Row],[Columna16]]</f>
        <v>#DIV/0!</v>
      </c>
      <c r="DW87" s="433" t="e">
        <f>(Tabla241057[[#This Row],[Columna4]]*DW$56/$DN$56)*$DV$55</f>
        <v>#DIV/0!</v>
      </c>
      <c r="DX87" s="433" t="e">
        <f>(Tabla241057[[#This Row],[Columna4]]*DX$56/$DN$56)*$DV$55</f>
        <v>#DIV/0!</v>
      </c>
      <c r="DY87" s="433" t="e">
        <f>(Tabla241057[[#This Row],[Columna4]]*DY$56/$DN$56)*$DV$55</f>
        <v>#DIV/0!</v>
      </c>
      <c r="DZ87" s="433" t="e">
        <f>(Tabla241057[[#This Row],[Columna4]]*DZ$56/$DN$56)*$DV$55</f>
        <v>#DIV/0!</v>
      </c>
      <c r="EA87" s="433" t="e">
        <f>(Tabla241057[[#This Row],[Columna4]]*EA$56/$DN$56)*$DV$55</f>
        <v>#DIV/0!</v>
      </c>
      <c r="EB87" s="433" t="e">
        <f>(Tabla241057[[#This Row],[Columna4]]*EB$56/$DN$56)*$DV$55</f>
        <v>#DIV/0!</v>
      </c>
      <c r="EC87" s="433" t="e">
        <f>(Tabla241057[[#This Row],[Columna4]]*EC$56/$DN$56)*$DV$55</f>
        <v>#DIV/0!</v>
      </c>
      <c r="ED87" s="433" t="e">
        <f>(Tabla241057[[#This Row],[Columna4]]*ED$56/$DN$56)*$DV$55</f>
        <v>#DIV/0!</v>
      </c>
      <c r="EE87" s="433" t="e">
        <f>(Tabla241057[[#This Row],[Columna4]]*EE$56/$DN$56)*$DV$55</f>
        <v>#DIV/0!</v>
      </c>
      <c r="EF87" s="433" t="e">
        <f>(Tabla241057[[#This Row],[Columna4]]*EF$56/$DN$56)*$DV$55</f>
        <v>#DIV/0!</v>
      </c>
      <c r="EG87" s="433" t="e">
        <f>(Tabla241057[[#This Row],[Columna4]]*EG$56/$DN$56)*$DV$55</f>
        <v>#DIV/0!</v>
      </c>
      <c r="EH87" s="433" t="e">
        <f>(Tabla241057[[#This Row],[Columna4]]*EH$56/$DN$56)*$DV$55</f>
        <v>#DIV/0!</v>
      </c>
      <c r="EJ87" s="529"/>
      <c r="EK87" s="529"/>
      <c r="EL87" s="414" t="e">
        <f>$AS$84</f>
        <v>#DIV/0!</v>
      </c>
      <c r="EM87" s="242" t="str">
        <f>Tabla24[[#This Row],[Columna1]]</f>
        <v>C29</v>
      </c>
      <c r="EN87" s="433" t="e">
        <f>Tabla24105711[[#This Row],[Columna3]]/7</f>
        <v>#DIV/0!</v>
      </c>
      <c r="EO87" s="433" t="e">
        <f>Tabla24105711[[#This Row],[Columna4]]/4.2</f>
        <v>#DIV/0!</v>
      </c>
      <c r="EP87" s="433" t="e">
        <f>Tabla241057[[#This Row],[Columna16]]</f>
        <v>#DIV/0!</v>
      </c>
      <c r="EQ87" s="433" t="e">
        <f>(Tabla24105711[[#This Row],[Columna4]]*EQ$56/$EH$56)*$EP$55</f>
        <v>#DIV/0!</v>
      </c>
      <c r="ER87" s="433" t="e">
        <f>(Tabla24105711[[#This Row],[Columna4]]*ER$56/$EH$56)*$EP$55</f>
        <v>#DIV/0!</v>
      </c>
      <c r="ES87" s="433" t="e">
        <f>(Tabla24105711[[#This Row],[Columna4]]*ES$56/$EH$56)*$EP$55</f>
        <v>#DIV/0!</v>
      </c>
      <c r="ET87" s="433" t="e">
        <f>(Tabla24105711[[#This Row],[Columna4]]*ET$56/$EH$56)*$EP$55</f>
        <v>#DIV/0!</v>
      </c>
      <c r="EU87" s="433" t="e">
        <f>(Tabla24105711[[#This Row],[Columna4]]*EU$56/$EH$56)*$EP$55</f>
        <v>#DIV/0!</v>
      </c>
      <c r="EV87" s="433" t="e">
        <f>(Tabla24105711[[#This Row],[Columna4]]*EV$56/$EH$56)*$EP$55</f>
        <v>#DIV/0!</v>
      </c>
      <c r="EW87" s="433" t="e">
        <f>(Tabla24105711[[#This Row],[Columna4]]*EW$56/$EH$56)*$EP$55</f>
        <v>#DIV/0!</v>
      </c>
      <c r="EX87" s="433" t="e">
        <f>(Tabla24105711[[#This Row],[Columna4]]*EX$56/$EH$56)*$EP$55</f>
        <v>#DIV/0!</v>
      </c>
      <c r="EY87" s="433" t="e">
        <f>(Tabla24105711[[#This Row],[Columna4]]*EY$56/$EH$56)*$EP$55</f>
        <v>#DIV/0!</v>
      </c>
      <c r="EZ87" s="433" t="e">
        <f>(Tabla24105711[[#This Row],[Columna4]]*EZ$56/$EH$56)*$EP$55</f>
        <v>#DIV/0!</v>
      </c>
      <c r="FA87" s="433" t="e">
        <f>(Tabla24105711[[#This Row],[Columna4]]*FA$56/$EH$56)*$EP$55</f>
        <v>#DIV/0!</v>
      </c>
      <c r="FB87" s="433" t="e">
        <f>(Tabla24105711[[#This Row],[Columna4]]*FB$56/$EH$56)*$EP$55</f>
        <v>#DIV/0!</v>
      </c>
      <c r="FD87" s="397" t="s">
        <v>128</v>
      </c>
      <c r="FE87" s="399" t="s">
        <v>125</v>
      </c>
      <c r="FF87" s="400">
        <f t="shared" si="315"/>
        <v>0</v>
      </c>
      <c r="FG87" s="400">
        <f t="shared" si="315"/>
        <v>0</v>
      </c>
      <c r="FH87" s="400">
        <f t="shared" si="315"/>
        <v>0</v>
      </c>
      <c r="FI87" s="400">
        <f t="shared" si="315"/>
        <v>0</v>
      </c>
      <c r="FJ87" s="400">
        <f t="shared" si="315"/>
        <v>0</v>
      </c>
      <c r="FK87" s="400">
        <f t="shared" si="315"/>
        <v>0</v>
      </c>
      <c r="FL87" s="400">
        <f t="shared" si="315"/>
        <v>0</v>
      </c>
      <c r="FM87" s="400">
        <f t="shared" si="315"/>
        <v>0</v>
      </c>
      <c r="FN87" s="400">
        <f t="shared" si="315"/>
        <v>0</v>
      </c>
      <c r="FO87" s="400">
        <f t="shared" si="315"/>
        <v>0</v>
      </c>
      <c r="FP87" s="400">
        <f t="shared" si="315"/>
        <v>0</v>
      </c>
      <c r="FQ87" s="400">
        <f t="shared" si="315"/>
        <v>0</v>
      </c>
      <c r="FR87" s="363">
        <f t="shared" si="197"/>
        <v>0</v>
      </c>
      <c r="FS87" s="260" t="e">
        <f t="shared" si="198"/>
        <v>#DIV/0!</v>
      </c>
      <c r="FV87" s="357" t="s">
        <v>440</v>
      </c>
      <c r="FW87" s="366" t="e">
        <f>MAX(FW70*1%,(FW83-FW85)*30%)</f>
        <v>#DIV/0!</v>
      </c>
      <c r="FX87" s="366" t="e">
        <f t="shared" ref="FX87:GH87" si="318">MAX(FX70*1%,(FX83-FX85)*30%)</f>
        <v>#DIV/0!</v>
      </c>
      <c r="FY87" s="366" t="e">
        <f t="shared" si="318"/>
        <v>#DIV/0!</v>
      </c>
      <c r="FZ87" s="366" t="e">
        <f t="shared" si="318"/>
        <v>#DIV/0!</v>
      </c>
      <c r="GA87" s="366" t="e">
        <f t="shared" si="318"/>
        <v>#DIV/0!</v>
      </c>
      <c r="GB87" s="366" t="e">
        <f t="shared" si="318"/>
        <v>#DIV/0!</v>
      </c>
      <c r="GC87" s="366" t="e">
        <f t="shared" si="318"/>
        <v>#DIV/0!</v>
      </c>
      <c r="GD87" s="366" t="e">
        <f t="shared" si="318"/>
        <v>#DIV/0!</v>
      </c>
      <c r="GE87" s="366" t="e">
        <f t="shared" si="318"/>
        <v>#DIV/0!</v>
      </c>
      <c r="GF87" s="366" t="e">
        <f t="shared" si="318"/>
        <v>#DIV/0!</v>
      </c>
      <c r="GG87" s="366" t="e">
        <f t="shared" si="318"/>
        <v>#DIV/0!</v>
      </c>
      <c r="GH87" s="366" t="e">
        <f t="shared" si="318"/>
        <v>#DIV/0!</v>
      </c>
      <c r="GI87" s="309" t="e">
        <f>SUM(FW87:GH87)</f>
        <v>#DIV/0!</v>
      </c>
      <c r="GJ87" s="262" t="e">
        <f>GI87/$GI$6</f>
        <v>#DIV/0!</v>
      </c>
      <c r="HD87" s="503" t="s">
        <v>551</v>
      </c>
      <c r="HE87" s="504"/>
      <c r="HF87" s="504"/>
      <c r="HG87" s="505"/>
      <c r="HH87" s="59">
        <f>HF81</f>
        <v>0</v>
      </c>
      <c r="HI87" s="51"/>
      <c r="HM87" s="283"/>
      <c r="HN87" s="283"/>
      <c r="HO87" s="285"/>
      <c r="HP87" s="283"/>
      <c r="HQ87" s="286"/>
      <c r="HR87" s="283"/>
      <c r="HS87" s="286"/>
      <c r="HT87" s="283"/>
      <c r="HU87" s="286"/>
      <c r="HV87" s="283"/>
      <c r="HW87" s="286"/>
      <c r="HX87" s="283"/>
      <c r="HY87" s="286"/>
      <c r="HZ87" s="283"/>
      <c r="IA87" s="286"/>
      <c r="IB87" s="283"/>
      <c r="IC87" s="286"/>
      <c r="ID87" s="283"/>
      <c r="IE87" s="286"/>
      <c r="IF87" s="283"/>
      <c r="IG87" s="286"/>
      <c r="IH87" s="283"/>
      <c r="II87" s="286"/>
      <c r="IJ87" s="283"/>
      <c r="IK87" s="286"/>
      <c r="IL87" s="283"/>
      <c r="IM87" s="288"/>
    </row>
    <row r="88" spans="39:247" ht="14.4" customHeight="1" x14ac:dyDescent="0.3">
      <c r="AM88" s="412">
        <f t="shared" si="270"/>
        <v>0</v>
      </c>
      <c r="AN88" s="412">
        <f t="shared" si="271"/>
        <v>0</v>
      </c>
      <c r="AO88" s="412">
        <f t="shared" si="272"/>
        <v>0</v>
      </c>
      <c r="AP88" s="412">
        <f t="shared" si="273"/>
        <v>0</v>
      </c>
      <c r="AQ88" s="413" t="s">
        <v>827</v>
      </c>
      <c r="AR88" s="297">
        <f t="shared" si="274"/>
        <v>0</v>
      </c>
      <c r="AS88" s="414" t="e">
        <f t="shared" si="267"/>
        <v>#DIV/0!</v>
      </c>
      <c r="AT88" s="529"/>
      <c r="AU88" s="529"/>
      <c r="AV88" s="299">
        <v>0</v>
      </c>
      <c r="AW88" s="300">
        <v>0</v>
      </c>
      <c r="AX88" s="301"/>
      <c r="BH88" s="529"/>
      <c r="BI88" s="529"/>
      <c r="BJ88" s="414" t="e">
        <f>$AS$85</f>
        <v>#DIV/0!</v>
      </c>
      <c r="BK88" s="242" t="str">
        <f t="shared" si="277"/>
        <v>C30</v>
      </c>
      <c r="BL88" s="433">
        <f>Tabla24[[#This Row],[Columna3]]/7</f>
        <v>0</v>
      </c>
      <c r="BM88" s="433">
        <f>Tabla24[[#This Row],[Columna4]]/4.2</f>
        <v>0</v>
      </c>
      <c r="BN88" s="433">
        <f t="shared" si="278"/>
        <v>0</v>
      </c>
      <c r="BO88" s="433">
        <f t="shared" si="279"/>
        <v>0</v>
      </c>
      <c r="BP88" s="433">
        <f t="shared" si="280"/>
        <v>0</v>
      </c>
      <c r="BQ88" s="433">
        <f t="shared" si="281"/>
        <v>0</v>
      </c>
      <c r="BR88" s="433">
        <f t="shared" si="282"/>
        <v>0</v>
      </c>
      <c r="BS88" s="433">
        <f t="shared" si="283"/>
        <v>0</v>
      </c>
      <c r="BT88" s="433">
        <f t="shared" si="284"/>
        <v>0</v>
      </c>
      <c r="BU88" s="433">
        <f t="shared" si="285"/>
        <v>0</v>
      </c>
      <c r="BV88" s="433">
        <f t="shared" si="286"/>
        <v>0</v>
      </c>
      <c r="BW88" s="433">
        <f t="shared" si="287"/>
        <v>0</v>
      </c>
      <c r="BX88" s="433">
        <f t="shared" si="288"/>
        <v>0</v>
      </c>
      <c r="BY88" s="433">
        <f t="shared" si="289"/>
        <v>0</v>
      </c>
      <c r="BZ88" s="433">
        <f t="shared" si="290"/>
        <v>0</v>
      </c>
      <c r="CB88" s="529"/>
      <c r="CC88" s="529"/>
      <c r="CD88" s="414" t="e">
        <f>$AS$85</f>
        <v>#DIV/0!</v>
      </c>
      <c r="CE88" s="242" t="str">
        <f>Tabla24[[#This Row],[Columna1]]</f>
        <v>C30</v>
      </c>
      <c r="CF88" s="433">
        <f>Tabla2410[[#This Row],[Columna3]]/7</f>
        <v>0</v>
      </c>
      <c r="CG88" s="433">
        <f>Tabla2410[[#This Row],[Columna4]]/4.2</f>
        <v>0</v>
      </c>
      <c r="CH88" s="433">
        <f>Tabla24[[#This Row],[Columna16]]</f>
        <v>0</v>
      </c>
      <c r="CI88" s="433" t="e">
        <f>(Tabla2410[[#This Row],[Columna4]]*CI$56/$BZ$56)*$CH$55</f>
        <v>#DIV/0!</v>
      </c>
      <c r="CJ88" s="433" t="e">
        <f>(Tabla2410[[#This Row],[Columna4]]*CJ$56/$BZ$56)*$CH$55</f>
        <v>#DIV/0!</v>
      </c>
      <c r="CK88" s="433" t="e">
        <f>(Tabla2410[[#This Row],[Columna4]]*CK$56/$BZ$56)*$CH$55</f>
        <v>#DIV/0!</v>
      </c>
      <c r="CL88" s="433" t="e">
        <f>(Tabla2410[[#This Row],[Columna4]]*CL$56/$BZ$56)*$CH$55</f>
        <v>#DIV/0!</v>
      </c>
      <c r="CM88" s="433" t="e">
        <f>(Tabla2410[[#This Row],[Columna4]]*CM$56/$BZ$56)*$CH$55</f>
        <v>#DIV/0!</v>
      </c>
      <c r="CN88" s="433" t="e">
        <f>(Tabla2410[[#This Row],[Columna4]]*CN$56/$BZ$56)*$CH$55</f>
        <v>#DIV/0!</v>
      </c>
      <c r="CO88" s="433" t="e">
        <f>(Tabla2410[[#This Row],[Columna4]]*CO$56/$BZ$56)*$CH$55</f>
        <v>#DIV/0!</v>
      </c>
      <c r="CP88" s="433" t="e">
        <f>(Tabla2410[[#This Row],[Columna4]]*CP$56/$BZ$56)*$CH$55</f>
        <v>#DIV/0!</v>
      </c>
      <c r="CQ88" s="433" t="e">
        <f>(Tabla2410[[#This Row],[Columna4]]*CQ$56/$BZ$56)*$CH$55</f>
        <v>#DIV/0!</v>
      </c>
      <c r="CR88" s="433" t="e">
        <f>(Tabla2410[[#This Row],[Columna4]]*CR$56/$BZ$56)*$CH$55</f>
        <v>#DIV/0!</v>
      </c>
      <c r="CS88" s="433" t="e">
        <f>(Tabla2410[[#This Row],[Columna4]]*CS$56/$BZ$56)*$CH$55</f>
        <v>#DIV/0!</v>
      </c>
      <c r="CT88" s="433" t="e">
        <f>(Tabla2410[[#This Row],[Columna4]]*CT$56/$BZ$56)*$CH$55</f>
        <v>#DIV/0!</v>
      </c>
      <c r="CV88" s="529"/>
      <c r="CW88" s="529"/>
      <c r="CX88" s="414" t="e">
        <f>$AS$85</f>
        <v>#DIV/0!</v>
      </c>
      <c r="CY88" s="242" t="str">
        <f>Tabla24[[#This Row],[Columna1]]</f>
        <v>C30</v>
      </c>
      <c r="CZ88" s="433" t="e">
        <f>Tabla24105[[#This Row],[Columna3]]/7</f>
        <v>#DIV/0!</v>
      </c>
      <c r="DA88" s="433" t="e">
        <f>Tabla24105[[#This Row],[Columna4]]/4.2</f>
        <v>#DIV/0!</v>
      </c>
      <c r="DB88" s="433" t="e">
        <f>Tabla2410[[#This Row],[Columna16]]</f>
        <v>#DIV/0!</v>
      </c>
      <c r="DC88" s="433" t="e">
        <f>(Tabla24105[[#This Row],[Columna4]]*DC$56/$CT$56)*$DB$55</f>
        <v>#DIV/0!</v>
      </c>
      <c r="DD88" s="433" t="e">
        <f>(Tabla24105[[#This Row],[Columna4]]*DD$56/$CT$56)*$DB$55</f>
        <v>#DIV/0!</v>
      </c>
      <c r="DE88" s="433" t="e">
        <f>(Tabla24105[[#This Row],[Columna4]]*DE$56/$CT$56)*$DB$55</f>
        <v>#DIV/0!</v>
      </c>
      <c r="DF88" s="433" t="e">
        <f>(Tabla24105[[#This Row],[Columna4]]*DF$56/$CT$56)*$DB$55</f>
        <v>#DIV/0!</v>
      </c>
      <c r="DG88" s="433" t="e">
        <f>(Tabla24105[[#This Row],[Columna4]]*DG$56/$CT$56)*$DB$55</f>
        <v>#DIV/0!</v>
      </c>
      <c r="DH88" s="433" t="e">
        <f>(Tabla24105[[#This Row],[Columna4]]*DH$56/$CT$56)*$DB$55</f>
        <v>#DIV/0!</v>
      </c>
      <c r="DI88" s="433" t="e">
        <f>(Tabla24105[[#This Row],[Columna4]]*DI$56/$CT$56)*$DB$55</f>
        <v>#DIV/0!</v>
      </c>
      <c r="DJ88" s="433" t="e">
        <f>(Tabla24105[[#This Row],[Columna4]]*DJ$56/$CT$56)*$DB$55</f>
        <v>#DIV/0!</v>
      </c>
      <c r="DK88" s="433" t="e">
        <f>(Tabla24105[[#This Row],[Columna4]]*DK$56/$CT$56)*$DB$55</f>
        <v>#DIV/0!</v>
      </c>
      <c r="DL88" s="433" t="e">
        <f>(Tabla24105[[#This Row],[Columna4]]*DL$56/$CT$56)*$DB$55</f>
        <v>#DIV/0!</v>
      </c>
      <c r="DM88" s="433" t="e">
        <f>(Tabla24105[[#This Row],[Columna4]]*DM$56/$CT$56)*$DB$55</f>
        <v>#DIV/0!</v>
      </c>
      <c r="DN88" s="433" t="e">
        <f>(Tabla24105[[#This Row],[Columna4]]*DN$56/$CT$56)*$DB$55</f>
        <v>#DIV/0!</v>
      </c>
      <c r="DP88" s="529"/>
      <c r="DQ88" s="529"/>
      <c r="DR88" s="414" t="e">
        <f>$AS$85</f>
        <v>#DIV/0!</v>
      </c>
      <c r="DS88" s="242" t="str">
        <f>Tabla24[[#This Row],[Columna1]]</f>
        <v>C30</v>
      </c>
      <c r="DT88" s="433" t="e">
        <f>Tabla241057[[#This Row],[Columna3]]/7</f>
        <v>#DIV/0!</v>
      </c>
      <c r="DU88" s="433" t="e">
        <f>Tabla241057[[#This Row],[Columna4]]/4.2</f>
        <v>#DIV/0!</v>
      </c>
      <c r="DV88" s="433" t="e">
        <f>Tabla24105[[#This Row],[Columna16]]</f>
        <v>#DIV/0!</v>
      </c>
      <c r="DW88" s="433" t="e">
        <f>(Tabla241057[[#This Row],[Columna4]]*DW$56/$DN$56)*$DV$55</f>
        <v>#DIV/0!</v>
      </c>
      <c r="DX88" s="433" t="e">
        <f>(Tabla241057[[#This Row],[Columna4]]*DX$56/$DN$56)*$DV$55</f>
        <v>#DIV/0!</v>
      </c>
      <c r="DY88" s="433" t="e">
        <f>(Tabla241057[[#This Row],[Columna4]]*DY$56/$DN$56)*$DV$55</f>
        <v>#DIV/0!</v>
      </c>
      <c r="DZ88" s="433" t="e">
        <f>(Tabla241057[[#This Row],[Columna4]]*DZ$56/$DN$56)*$DV$55</f>
        <v>#DIV/0!</v>
      </c>
      <c r="EA88" s="433" t="e">
        <f>(Tabla241057[[#This Row],[Columna4]]*EA$56/$DN$56)*$DV$55</f>
        <v>#DIV/0!</v>
      </c>
      <c r="EB88" s="433" t="e">
        <f>(Tabla241057[[#This Row],[Columna4]]*EB$56/$DN$56)*$DV$55</f>
        <v>#DIV/0!</v>
      </c>
      <c r="EC88" s="433" t="e">
        <f>(Tabla241057[[#This Row],[Columna4]]*EC$56/$DN$56)*$DV$55</f>
        <v>#DIV/0!</v>
      </c>
      <c r="ED88" s="433" t="e">
        <f>(Tabla241057[[#This Row],[Columna4]]*ED$56/$DN$56)*$DV$55</f>
        <v>#DIV/0!</v>
      </c>
      <c r="EE88" s="433" t="e">
        <f>(Tabla241057[[#This Row],[Columna4]]*EE$56/$DN$56)*$DV$55</f>
        <v>#DIV/0!</v>
      </c>
      <c r="EF88" s="433" t="e">
        <f>(Tabla241057[[#This Row],[Columna4]]*EF$56/$DN$56)*$DV$55</f>
        <v>#DIV/0!</v>
      </c>
      <c r="EG88" s="433" t="e">
        <f>(Tabla241057[[#This Row],[Columna4]]*EG$56/$DN$56)*$DV$55</f>
        <v>#DIV/0!</v>
      </c>
      <c r="EH88" s="433" t="e">
        <f>(Tabla241057[[#This Row],[Columna4]]*EH$56/$DN$56)*$DV$55</f>
        <v>#DIV/0!</v>
      </c>
      <c r="EJ88" s="529"/>
      <c r="EK88" s="529"/>
      <c r="EL88" s="414" t="e">
        <f>$AS$85</f>
        <v>#DIV/0!</v>
      </c>
      <c r="EM88" s="242" t="str">
        <f>Tabla24[[#This Row],[Columna1]]</f>
        <v>C30</v>
      </c>
      <c r="EN88" s="433" t="e">
        <f>Tabla24105711[[#This Row],[Columna3]]/7</f>
        <v>#DIV/0!</v>
      </c>
      <c r="EO88" s="433" t="e">
        <f>Tabla24105711[[#This Row],[Columna4]]/4.2</f>
        <v>#DIV/0!</v>
      </c>
      <c r="EP88" s="433" t="e">
        <f>Tabla241057[[#This Row],[Columna16]]</f>
        <v>#DIV/0!</v>
      </c>
      <c r="EQ88" s="433" t="e">
        <f>(Tabla24105711[[#This Row],[Columna4]]*EQ$56/$EH$56)*$EP$55</f>
        <v>#DIV/0!</v>
      </c>
      <c r="ER88" s="433" t="e">
        <f>(Tabla24105711[[#This Row],[Columna4]]*ER$56/$EH$56)*$EP$55</f>
        <v>#DIV/0!</v>
      </c>
      <c r="ES88" s="433" t="e">
        <f>(Tabla24105711[[#This Row],[Columna4]]*ES$56/$EH$56)*$EP$55</f>
        <v>#DIV/0!</v>
      </c>
      <c r="ET88" s="433" t="e">
        <f>(Tabla24105711[[#This Row],[Columna4]]*ET$56/$EH$56)*$EP$55</f>
        <v>#DIV/0!</v>
      </c>
      <c r="EU88" s="433" t="e">
        <f>(Tabla24105711[[#This Row],[Columna4]]*EU$56/$EH$56)*$EP$55</f>
        <v>#DIV/0!</v>
      </c>
      <c r="EV88" s="433" t="e">
        <f>(Tabla24105711[[#This Row],[Columna4]]*EV$56/$EH$56)*$EP$55</f>
        <v>#DIV/0!</v>
      </c>
      <c r="EW88" s="433" t="e">
        <f>(Tabla24105711[[#This Row],[Columna4]]*EW$56/$EH$56)*$EP$55</f>
        <v>#DIV/0!</v>
      </c>
      <c r="EX88" s="433" t="e">
        <f>(Tabla24105711[[#This Row],[Columna4]]*EX$56/$EH$56)*$EP$55</f>
        <v>#DIV/0!</v>
      </c>
      <c r="EY88" s="433" t="e">
        <f>(Tabla24105711[[#This Row],[Columna4]]*EY$56/$EH$56)*$EP$55</f>
        <v>#DIV/0!</v>
      </c>
      <c r="EZ88" s="433" t="e">
        <f>(Tabla24105711[[#This Row],[Columna4]]*EZ$56/$EH$56)*$EP$55</f>
        <v>#DIV/0!</v>
      </c>
      <c r="FA88" s="433" t="e">
        <f>(Tabla24105711[[#This Row],[Columna4]]*FA$56/$EH$56)*$EP$55</f>
        <v>#DIV/0!</v>
      </c>
      <c r="FB88" s="433" t="e">
        <f>(Tabla24105711[[#This Row],[Columna4]]*FB$56/$EH$56)*$EP$55</f>
        <v>#DIV/0!</v>
      </c>
      <c r="FD88" s="397" t="s">
        <v>130</v>
      </c>
      <c r="FE88" s="399" t="s">
        <v>127</v>
      </c>
      <c r="FF88" s="400">
        <f t="shared" si="315"/>
        <v>0</v>
      </c>
      <c r="FG88" s="400">
        <f t="shared" si="315"/>
        <v>0</v>
      </c>
      <c r="FH88" s="400">
        <f t="shared" si="315"/>
        <v>0</v>
      </c>
      <c r="FI88" s="400">
        <f t="shared" si="315"/>
        <v>0</v>
      </c>
      <c r="FJ88" s="400">
        <f t="shared" si="315"/>
        <v>0</v>
      </c>
      <c r="FK88" s="400">
        <f t="shared" si="315"/>
        <v>0</v>
      </c>
      <c r="FL88" s="400">
        <f t="shared" si="315"/>
        <v>0</v>
      </c>
      <c r="FM88" s="400">
        <f t="shared" si="315"/>
        <v>0</v>
      </c>
      <c r="FN88" s="400">
        <f t="shared" si="315"/>
        <v>0</v>
      </c>
      <c r="FO88" s="400">
        <f t="shared" si="315"/>
        <v>0</v>
      </c>
      <c r="FP88" s="400">
        <f t="shared" si="315"/>
        <v>0</v>
      </c>
      <c r="FQ88" s="400">
        <f t="shared" si="315"/>
        <v>0</v>
      </c>
      <c r="FR88" s="363">
        <f t="shared" si="197"/>
        <v>0</v>
      </c>
      <c r="FS88" s="260" t="e">
        <f t="shared" si="198"/>
        <v>#DIV/0!</v>
      </c>
      <c r="FV88" s="362"/>
      <c r="FW88" s="362"/>
      <c r="FX88" s="362"/>
      <c r="FY88" s="362"/>
      <c r="FZ88" s="362"/>
      <c r="GA88" s="362"/>
      <c r="GB88" s="362"/>
      <c r="GC88" s="362"/>
      <c r="GD88" s="362"/>
      <c r="GE88" s="362"/>
      <c r="GF88" s="362"/>
      <c r="GG88" s="362"/>
      <c r="GH88" s="362"/>
      <c r="GI88" s="362"/>
      <c r="GJ88" s="387"/>
      <c r="HD88" s="506" t="s">
        <v>558</v>
      </c>
      <c r="HE88" s="506"/>
      <c r="HF88" s="506"/>
      <c r="HG88" s="506"/>
      <c r="HH88" s="71">
        <f>HH9+HH80+HH87</f>
        <v>0</v>
      </c>
      <c r="HI88" s="51"/>
      <c r="HM88" s="283"/>
      <c r="HN88" s="283"/>
    </row>
    <row r="89" spans="39:247" ht="14.4" customHeight="1" thickBot="1" x14ac:dyDescent="0.35">
      <c r="AM89" s="412">
        <f t="shared" si="270"/>
        <v>0</v>
      </c>
      <c r="AN89" s="412">
        <f t="shared" si="271"/>
        <v>0</v>
      </c>
      <c r="AO89" s="412">
        <f t="shared" si="272"/>
        <v>0</v>
      </c>
      <c r="AP89" s="412">
        <f t="shared" si="273"/>
        <v>0</v>
      </c>
      <c r="AQ89" s="413" t="s">
        <v>829</v>
      </c>
      <c r="AR89" s="297">
        <f t="shared" si="274"/>
        <v>0</v>
      </c>
      <c r="AS89" s="414" t="e">
        <f t="shared" si="267"/>
        <v>#DIV/0!</v>
      </c>
      <c r="AT89" s="529"/>
      <c r="AU89" s="529"/>
      <c r="AV89" s="299">
        <v>0</v>
      </c>
      <c r="AW89" s="300">
        <v>0</v>
      </c>
      <c r="AX89" s="301"/>
      <c r="BH89" s="529"/>
      <c r="BI89" s="529"/>
      <c r="BJ89" s="414" t="e">
        <f>$AS$86</f>
        <v>#DIV/0!</v>
      </c>
      <c r="BK89" s="242" t="str">
        <f t="shared" si="277"/>
        <v>C31</v>
      </c>
      <c r="BL89" s="433">
        <f>Tabla24[[#This Row],[Columna3]]/7</f>
        <v>0</v>
      </c>
      <c r="BM89" s="433">
        <f>Tabla24[[#This Row],[Columna4]]/4.2</f>
        <v>0</v>
      </c>
      <c r="BN89" s="433">
        <f t="shared" si="278"/>
        <v>0</v>
      </c>
      <c r="BO89" s="433">
        <f t="shared" si="279"/>
        <v>0</v>
      </c>
      <c r="BP89" s="433">
        <f t="shared" si="280"/>
        <v>0</v>
      </c>
      <c r="BQ89" s="433">
        <f t="shared" si="281"/>
        <v>0</v>
      </c>
      <c r="BR89" s="433">
        <f t="shared" si="282"/>
        <v>0</v>
      </c>
      <c r="BS89" s="433">
        <f t="shared" si="283"/>
        <v>0</v>
      </c>
      <c r="BT89" s="433">
        <f t="shared" si="284"/>
        <v>0</v>
      </c>
      <c r="BU89" s="433">
        <f t="shared" si="285"/>
        <v>0</v>
      </c>
      <c r="BV89" s="433">
        <f t="shared" si="286"/>
        <v>0</v>
      </c>
      <c r="BW89" s="433">
        <f t="shared" si="287"/>
        <v>0</v>
      </c>
      <c r="BX89" s="433">
        <f t="shared" si="288"/>
        <v>0</v>
      </c>
      <c r="BY89" s="433">
        <f t="shared" si="289"/>
        <v>0</v>
      </c>
      <c r="BZ89" s="433">
        <f t="shared" si="290"/>
        <v>0</v>
      </c>
      <c r="CB89" s="529"/>
      <c r="CC89" s="529"/>
      <c r="CD89" s="414" t="e">
        <f>$AS$86</f>
        <v>#DIV/0!</v>
      </c>
      <c r="CE89" s="242" t="str">
        <f>Tabla24[[#This Row],[Columna1]]</f>
        <v>C31</v>
      </c>
      <c r="CF89" s="433">
        <f>Tabla2410[[#This Row],[Columna3]]/7</f>
        <v>0</v>
      </c>
      <c r="CG89" s="433">
        <f>Tabla2410[[#This Row],[Columna4]]/4.2</f>
        <v>0</v>
      </c>
      <c r="CH89" s="433">
        <f>Tabla24[[#This Row],[Columna16]]</f>
        <v>0</v>
      </c>
      <c r="CI89" s="433" t="e">
        <f>(Tabla2410[[#This Row],[Columna4]]*CI$56/$BZ$56)*$CH$55</f>
        <v>#DIV/0!</v>
      </c>
      <c r="CJ89" s="433" t="e">
        <f>(Tabla2410[[#This Row],[Columna4]]*CJ$56/$BZ$56)*$CH$55</f>
        <v>#DIV/0!</v>
      </c>
      <c r="CK89" s="433" t="e">
        <f>(Tabla2410[[#This Row],[Columna4]]*CK$56/$BZ$56)*$CH$55</f>
        <v>#DIV/0!</v>
      </c>
      <c r="CL89" s="433" t="e">
        <f>(Tabla2410[[#This Row],[Columna4]]*CL$56/$BZ$56)*$CH$55</f>
        <v>#DIV/0!</v>
      </c>
      <c r="CM89" s="433" t="e">
        <f>(Tabla2410[[#This Row],[Columna4]]*CM$56/$BZ$56)*$CH$55</f>
        <v>#DIV/0!</v>
      </c>
      <c r="CN89" s="433" t="e">
        <f>(Tabla2410[[#This Row],[Columna4]]*CN$56/$BZ$56)*$CH$55</f>
        <v>#DIV/0!</v>
      </c>
      <c r="CO89" s="433" t="e">
        <f>(Tabla2410[[#This Row],[Columna4]]*CO$56/$BZ$56)*$CH$55</f>
        <v>#DIV/0!</v>
      </c>
      <c r="CP89" s="433" t="e">
        <f>(Tabla2410[[#This Row],[Columna4]]*CP$56/$BZ$56)*$CH$55</f>
        <v>#DIV/0!</v>
      </c>
      <c r="CQ89" s="433" t="e">
        <f>(Tabla2410[[#This Row],[Columna4]]*CQ$56/$BZ$56)*$CH$55</f>
        <v>#DIV/0!</v>
      </c>
      <c r="CR89" s="433" t="e">
        <f>(Tabla2410[[#This Row],[Columna4]]*CR$56/$BZ$56)*$CH$55</f>
        <v>#DIV/0!</v>
      </c>
      <c r="CS89" s="433" t="e">
        <f>(Tabla2410[[#This Row],[Columna4]]*CS$56/$BZ$56)*$CH$55</f>
        <v>#DIV/0!</v>
      </c>
      <c r="CT89" s="433" t="e">
        <f>(Tabla2410[[#This Row],[Columna4]]*CT$56/$BZ$56)*$CH$55</f>
        <v>#DIV/0!</v>
      </c>
      <c r="CV89" s="529"/>
      <c r="CW89" s="529"/>
      <c r="CX89" s="414" t="e">
        <f>$AS$86</f>
        <v>#DIV/0!</v>
      </c>
      <c r="CY89" s="242" t="str">
        <f>Tabla24[[#This Row],[Columna1]]</f>
        <v>C31</v>
      </c>
      <c r="CZ89" s="433" t="e">
        <f>Tabla24105[[#This Row],[Columna3]]/7</f>
        <v>#DIV/0!</v>
      </c>
      <c r="DA89" s="433" t="e">
        <f>Tabla24105[[#This Row],[Columna4]]/4.2</f>
        <v>#DIV/0!</v>
      </c>
      <c r="DB89" s="433" t="e">
        <f>Tabla2410[[#This Row],[Columna16]]</f>
        <v>#DIV/0!</v>
      </c>
      <c r="DC89" s="433" t="e">
        <f>(Tabla24105[[#This Row],[Columna4]]*DC$56/$CT$56)*$DB$55</f>
        <v>#DIV/0!</v>
      </c>
      <c r="DD89" s="433" t="e">
        <f>(Tabla24105[[#This Row],[Columna4]]*DD$56/$CT$56)*$DB$55</f>
        <v>#DIV/0!</v>
      </c>
      <c r="DE89" s="433" t="e">
        <f>(Tabla24105[[#This Row],[Columna4]]*DE$56/$CT$56)*$DB$55</f>
        <v>#DIV/0!</v>
      </c>
      <c r="DF89" s="433" t="e">
        <f>(Tabla24105[[#This Row],[Columna4]]*DF$56/$CT$56)*$DB$55</f>
        <v>#DIV/0!</v>
      </c>
      <c r="DG89" s="433" t="e">
        <f>(Tabla24105[[#This Row],[Columna4]]*DG$56/$CT$56)*$DB$55</f>
        <v>#DIV/0!</v>
      </c>
      <c r="DH89" s="433" t="e">
        <f>(Tabla24105[[#This Row],[Columna4]]*DH$56/$CT$56)*$DB$55</f>
        <v>#DIV/0!</v>
      </c>
      <c r="DI89" s="433" t="e">
        <f>(Tabla24105[[#This Row],[Columna4]]*DI$56/$CT$56)*$DB$55</f>
        <v>#DIV/0!</v>
      </c>
      <c r="DJ89" s="433" t="e">
        <f>(Tabla24105[[#This Row],[Columna4]]*DJ$56/$CT$56)*$DB$55</f>
        <v>#DIV/0!</v>
      </c>
      <c r="DK89" s="433" t="e">
        <f>(Tabla24105[[#This Row],[Columna4]]*DK$56/$CT$56)*$DB$55</f>
        <v>#DIV/0!</v>
      </c>
      <c r="DL89" s="433" t="e">
        <f>(Tabla24105[[#This Row],[Columna4]]*DL$56/$CT$56)*$DB$55</f>
        <v>#DIV/0!</v>
      </c>
      <c r="DM89" s="433" t="e">
        <f>(Tabla24105[[#This Row],[Columna4]]*DM$56/$CT$56)*$DB$55</f>
        <v>#DIV/0!</v>
      </c>
      <c r="DN89" s="433" t="e">
        <f>(Tabla24105[[#This Row],[Columna4]]*DN$56/$CT$56)*$DB$55</f>
        <v>#DIV/0!</v>
      </c>
      <c r="DP89" s="529"/>
      <c r="DQ89" s="529"/>
      <c r="DR89" s="414" t="e">
        <f>$AS$86</f>
        <v>#DIV/0!</v>
      </c>
      <c r="DS89" s="242" t="str">
        <f>Tabla24[[#This Row],[Columna1]]</f>
        <v>C31</v>
      </c>
      <c r="DT89" s="433" t="e">
        <f>Tabla241057[[#This Row],[Columna3]]/7</f>
        <v>#DIV/0!</v>
      </c>
      <c r="DU89" s="433" t="e">
        <f>Tabla241057[[#This Row],[Columna4]]/4.2</f>
        <v>#DIV/0!</v>
      </c>
      <c r="DV89" s="433" t="e">
        <f>Tabla24105[[#This Row],[Columna16]]</f>
        <v>#DIV/0!</v>
      </c>
      <c r="DW89" s="433" t="e">
        <f>(Tabla241057[[#This Row],[Columna4]]*DW$56/$DN$56)*$DV$55</f>
        <v>#DIV/0!</v>
      </c>
      <c r="DX89" s="433" t="e">
        <f>(Tabla241057[[#This Row],[Columna4]]*DX$56/$DN$56)*$DV$55</f>
        <v>#DIV/0!</v>
      </c>
      <c r="DY89" s="433" t="e">
        <f>(Tabla241057[[#This Row],[Columna4]]*DY$56/$DN$56)*$DV$55</f>
        <v>#DIV/0!</v>
      </c>
      <c r="DZ89" s="433" t="e">
        <f>(Tabla241057[[#This Row],[Columna4]]*DZ$56/$DN$56)*$DV$55</f>
        <v>#DIV/0!</v>
      </c>
      <c r="EA89" s="433" t="e">
        <f>(Tabla241057[[#This Row],[Columna4]]*EA$56/$DN$56)*$DV$55</f>
        <v>#DIV/0!</v>
      </c>
      <c r="EB89" s="433" t="e">
        <f>(Tabla241057[[#This Row],[Columna4]]*EB$56/$DN$56)*$DV$55</f>
        <v>#DIV/0!</v>
      </c>
      <c r="EC89" s="433" t="e">
        <f>(Tabla241057[[#This Row],[Columna4]]*EC$56/$DN$56)*$DV$55</f>
        <v>#DIV/0!</v>
      </c>
      <c r="ED89" s="433" t="e">
        <f>(Tabla241057[[#This Row],[Columna4]]*ED$56/$DN$56)*$DV$55</f>
        <v>#DIV/0!</v>
      </c>
      <c r="EE89" s="433" t="e">
        <f>(Tabla241057[[#This Row],[Columna4]]*EE$56/$DN$56)*$DV$55</f>
        <v>#DIV/0!</v>
      </c>
      <c r="EF89" s="433" t="e">
        <f>(Tabla241057[[#This Row],[Columna4]]*EF$56/$DN$56)*$DV$55</f>
        <v>#DIV/0!</v>
      </c>
      <c r="EG89" s="433" t="e">
        <f>(Tabla241057[[#This Row],[Columna4]]*EG$56/$DN$56)*$DV$55</f>
        <v>#DIV/0!</v>
      </c>
      <c r="EH89" s="433" t="e">
        <f>(Tabla241057[[#This Row],[Columna4]]*EH$56/$DN$56)*$DV$55</f>
        <v>#DIV/0!</v>
      </c>
      <c r="EJ89" s="529"/>
      <c r="EK89" s="529"/>
      <c r="EL89" s="414" t="e">
        <f>$AS$86</f>
        <v>#DIV/0!</v>
      </c>
      <c r="EM89" s="242" t="str">
        <f>Tabla24[[#This Row],[Columna1]]</f>
        <v>C31</v>
      </c>
      <c r="EN89" s="433" t="e">
        <f>Tabla24105711[[#This Row],[Columna3]]/7</f>
        <v>#DIV/0!</v>
      </c>
      <c r="EO89" s="433" t="e">
        <f>Tabla24105711[[#This Row],[Columna4]]/4.2</f>
        <v>#DIV/0!</v>
      </c>
      <c r="EP89" s="433" t="e">
        <f>Tabla241057[[#This Row],[Columna16]]</f>
        <v>#DIV/0!</v>
      </c>
      <c r="EQ89" s="433" t="e">
        <f>(Tabla24105711[[#This Row],[Columna4]]*EQ$56/$EH$56)*$EP$55</f>
        <v>#DIV/0!</v>
      </c>
      <c r="ER89" s="433" t="e">
        <f>(Tabla24105711[[#This Row],[Columna4]]*ER$56/$EH$56)*$EP$55</f>
        <v>#DIV/0!</v>
      </c>
      <c r="ES89" s="433" t="e">
        <f>(Tabla24105711[[#This Row],[Columna4]]*ES$56/$EH$56)*$EP$55</f>
        <v>#DIV/0!</v>
      </c>
      <c r="ET89" s="433" t="e">
        <f>(Tabla24105711[[#This Row],[Columna4]]*ET$56/$EH$56)*$EP$55</f>
        <v>#DIV/0!</v>
      </c>
      <c r="EU89" s="433" t="e">
        <f>(Tabla24105711[[#This Row],[Columna4]]*EU$56/$EH$56)*$EP$55</f>
        <v>#DIV/0!</v>
      </c>
      <c r="EV89" s="433" t="e">
        <f>(Tabla24105711[[#This Row],[Columna4]]*EV$56/$EH$56)*$EP$55</f>
        <v>#DIV/0!</v>
      </c>
      <c r="EW89" s="433" t="e">
        <f>(Tabla24105711[[#This Row],[Columna4]]*EW$56/$EH$56)*$EP$55</f>
        <v>#DIV/0!</v>
      </c>
      <c r="EX89" s="433" t="e">
        <f>(Tabla24105711[[#This Row],[Columna4]]*EX$56/$EH$56)*$EP$55</f>
        <v>#DIV/0!</v>
      </c>
      <c r="EY89" s="433" t="e">
        <f>(Tabla24105711[[#This Row],[Columna4]]*EY$56/$EH$56)*$EP$55</f>
        <v>#DIV/0!</v>
      </c>
      <c r="EZ89" s="433" t="e">
        <f>(Tabla24105711[[#This Row],[Columna4]]*EZ$56/$EH$56)*$EP$55</f>
        <v>#DIV/0!</v>
      </c>
      <c r="FA89" s="433" t="e">
        <f>(Tabla24105711[[#This Row],[Columna4]]*FA$56/$EH$56)*$EP$55</f>
        <v>#DIV/0!</v>
      </c>
      <c r="FB89" s="433" t="e">
        <f>(Tabla24105711[[#This Row],[Columna4]]*FB$56/$EH$56)*$EP$55</f>
        <v>#DIV/0!</v>
      </c>
      <c r="FD89" s="397" t="s">
        <v>132</v>
      </c>
      <c r="FE89" s="399" t="s">
        <v>129</v>
      </c>
      <c r="FF89" s="400">
        <f t="shared" si="315"/>
        <v>0</v>
      </c>
      <c r="FG89" s="400">
        <f t="shared" si="315"/>
        <v>0</v>
      </c>
      <c r="FH89" s="400">
        <f t="shared" si="315"/>
        <v>0</v>
      </c>
      <c r="FI89" s="400">
        <f t="shared" si="315"/>
        <v>0</v>
      </c>
      <c r="FJ89" s="400">
        <f t="shared" si="315"/>
        <v>0</v>
      </c>
      <c r="FK89" s="400">
        <f t="shared" si="315"/>
        <v>0</v>
      </c>
      <c r="FL89" s="400">
        <f t="shared" si="315"/>
        <v>0</v>
      </c>
      <c r="FM89" s="400">
        <f t="shared" si="315"/>
        <v>0</v>
      </c>
      <c r="FN89" s="400">
        <f t="shared" si="315"/>
        <v>0</v>
      </c>
      <c r="FO89" s="400">
        <f t="shared" si="315"/>
        <v>0</v>
      </c>
      <c r="FP89" s="400">
        <f t="shared" si="315"/>
        <v>0</v>
      </c>
      <c r="FQ89" s="400">
        <f t="shared" si="315"/>
        <v>0</v>
      </c>
      <c r="FR89" s="363">
        <f t="shared" si="197"/>
        <v>0</v>
      </c>
      <c r="FS89" s="260" t="e">
        <f t="shared" si="198"/>
        <v>#DIV/0!</v>
      </c>
      <c r="FV89" s="357" t="s">
        <v>441</v>
      </c>
      <c r="FW89" s="358" t="e">
        <f>FW83-FW85-FW87</f>
        <v>#DIV/0!</v>
      </c>
      <c r="FX89" s="358" t="e">
        <f t="shared" ref="FX89:GH89" si="319">FX83-FX85-FX87</f>
        <v>#DIV/0!</v>
      </c>
      <c r="FY89" s="358" t="e">
        <f t="shared" si="319"/>
        <v>#DIV/0!</v>
      </c>
      <c r="FZ89" s="358" t="e">
        <f t="shared" si="319"/>
        <v>#DIV/0!</v>
      </c>
      <c r="GA89" s="358" t="e">
        <f t="shared" si="319"/>
        <v>#DIV/0!</v>
      </c>
      <c r="GB89" s="358" t="e">
        <f t="shared" si="319"/>
        <v>#DIV/0!</v>
      </c>
      <c r="GC89" s="358" t="e">
        <f t="shared" si="319"/>
        <v>#DIV/0!</v>
      </c>
      <c r="GD89" s="358" t="e">
        <f t="shared" si="319"/>
        <v>#DIV/0!</v>
      </c>
      <c r="GE89" s="358" t="e">
        <f t="shared" si="319"/>
        <v>#DIV/0!</v>
      </c>
      <c r="GF89" s="358" t="e">
        <f t="shared" si="319"/>
        <v>#DIV/0!</v>
      </c>
      <c r="GG89" s="358" t="e">
        <f t="shared" si="319"/>
        <v>#DIV/0!</v>
      </c>
      <c r="GH89" s="358" t="e">
        <f t="shared" si="319"/>
        <v>#DIV/0!</v>
      </c>
      <c r="GI89" s="309" t="e">
        <f>SUM(FW89:GH89)</f>
        <v>#DIV/0!</v>
      </c>
      <c r="GJ89" s="262" t="e">
        <f>GI89/$GI$6</f>
        <v>#DIV/0!</v>
      </c>
      <c r="HI89" s="51"/>
    </row>
    <row r="90" spans="39:247" ht="14.4" customHeight="1" thickTop="1" x14ac:dyDescent="0.3">
      <c r="AM90" s="412">
        <f t="shared" si="270"/>
        <v>0</v>
      </c>
      <c r="AN90" s="412">
        <f t="shared" si="271"/>
        <v>0</v>
      </c>
      <c r="AO90" s="412">
        <f t="shared" si="272"/>
        <v>0</v>
      </c>
      <c r="AP90" s="412">
        <f t="shared" si="273"/>
        <v>0</v>
      </c>
      <c r="AQ90" s="413" t="s">
        <v>831</v>
      </c>
      <c r="AR90" s="297">
        <f t="shared" si="274"/>
        <v>0</v>
      </c>
      <c r="AS90" s="414" t="e">
        <f t="shared" si="267"/>
        <v>#DIV/0!</v>
      </c>
      <c r="AT90" s="529"/>
      <c r="AU90" s="529"/>
      <c r="AV90" s="299">
        <v>0</v>
      </c>
      <c r="AW90" s="300">
        <v>0</v>
      </c>
      <c r="AX90" s="301"/>
      <c r="BH90" s="529"/>
      <c r="BI90" s="529"/>
      <c r="BJ90" s="414" t="e">
        <f>$AS$87</f>
        <v>#DIV/0!</v>
      </c>
      <c r="BK90" s="242" t="str">
        <f t="shared" si="277"/>
        <v>C32</v>
      </c>
      <c r="BL90" s="433">
        <f>Tabla24[[#This Row],[Columna3]]/7</f>
        <v>0</v>
      </c>
      <c r="BM90" s="433">
        <f>Tabla24[[#This Row],[Columna4]]/4.2</f>
        <v>0</v>
      </c>
      <c r="BN90" s="433">
        <f t="shared" si="278"/>
        <v>0</v>
      </c>
      <c r="BO90" s="433">
        <f t="shared" si="279"/>
        <v>0</v>
      </c>
      <c r="BP90" s="433">
        <f t="shared" si="280"/>
        <v>0</v>
      </c>
      <c r="BQ90" s="433">
        <f t="shared" si="281"/>
        <v>0</v>
      </c>
      <c r="BR90" s="433">
        <f t="shared" si="282"/>
        <v>0</v>
      </c>
      <c r="BS90" s="433">
        <f t="shared" si="283"/>
        <v>0</v>
      </c>
      <c r="BT90" s="433">
        <f t="shared" si="284"/>
        <v>0</v>
      </c>
      <c r="BU90" s="433">
        <f t="shared" si="285"/>
        <v>0</v>
      </c>
      <c r="BV90" s="433">
        <f t="shared" si="286"/>
        <v>0</v>
      </c>
      <c r="BW90" s="433">
        <f t="shared" si="287"/>
        <v>0</v>
      </c>
      <c r="BX90" s="433">
        <f t="shared" si="288"/>
        <v>0</v>
      </c>
      <c r="BY90" s="433">
        <f t="shared" si="289"/>
        <v>0</v>
      </c>
      <c r="BZ90" s="433">
        <f t="shared" si="290"/>
        <v>0</v>
      </c>
      <c r="CB90" s="529"/>
      <c r="CC90" s="529"/>
      <c r="CD90" s="414" t="e">
        <f>$AS$87</f>
        <v>#DIV/0!</v>
      </c>
      <c r="CE90" s="242" t="str">
        <f>Tabla24[[#This Row],[Columna1]]</f>
        <v>C32</v>
      </c>
      <c r="CF90" s="433">
        <f>Tabla2410[[#This Row],[Columna3]]/7</f>
        <v>0</v>
      </c>
      <c r="CG90" s="433">
        <f>Tabla2410[[#This Row],[Columna4]]/4.2</f>
        <v>0</v>
      </c>
      <c r="CH90" s="433">
        <f>Tabla24[[#This Row],[Columna16]]</f>
        <v>0</v>
      </c>
      <c r="CI90" s="433" t="e">
        <f>(Tabla2410[[#This Row],[Columna4]]*CI$56/$BZ$56)*$CH$55</f>
        <v>#DIV/0!</v>
      </c>
      <c r="CJ90" s="433" t="e">
        <f>(Tabla2410[[#This Row],[Columna4]]*CJ$56/$BZ$56)*$CH$55</f>
        <v>#DIV/0!</v>
      </c>
      <c r="CK90" s="433" t="e">
        <f>(Tabla2410[[#This Row],[Columna4]]*CK$56/$BZ$56)*$CH$55</f>
        <v>#DIV/0!</v>
      </c>
      <c r="CL90" s="433" t="e">
        <f>(Tabla2410[[#This Row],[Columna4]]*CL$56/$BZ$56)*$CH$55</f>
        <v>#DIV/0!</v>
      </c>
      <c r="CM90" s="433" t="e">
        <f>(Tabla2410[[#This Row],[Columna4]]*CM$56/$BZ$56)*$CH$55</f>
        <v>#DIV/0!</v>
      </c>
      <c r="CN90" s="433" t="e">
        <f>(Tabla2410[[#This Row],[Columna4]]*CN$56/$BZ$56)*$CH$55</f>
        <v>#DIV/0!</v>
      </c>
      <c r="CO90" s="433" t="e">
        <f>(Tabla2410[[#This Row],[Columna4]]*CO$56/$BZ$56)*$CH$55</f>
        <v>#DIV/0!</v>
      </c>
      <c r="CP90" s="433" t="e">
        <f>(Tabla2410[[#This Row],[Columna4]]*CP$56/$BZ$56)*$CH$55</f>
        <v>#DIV/0!</v>
      </c>
      <c r="CQ90" s="433" t="e">
        <f>(Tabla2410[[#This Row],[Columna4]]*CQ$56/$BZ$56)*$CH$55</f>
        <v>#DIV/0!</v>
      </c>
      <c r="CR90" s="433" t="e">
        <f>(Tabla2410[[#This Row],[Columna4]]*CR$56/$BZ$56)*$CH$55</f>
        <v>#DIV/0!</v>
      </c>
      <c r="CS90" s="433" t="e">
        <f>(Tabla2410[[#This Row],[Columna4]]*CS$56/$BZ$56)*$CH$55</f>
        <v>#DIV/0!</v>
      </c>
      <c r="CT90" s="433" t="e">
        <f>(Tabla2410[[#This Row],[Columna4]]*CT$56/$BZ$56)*$CH$55</f>
        <v>#DIV/0!</v>
      </c>
      <c r="CV90" s="529"/>
      <c r="CW90" s="529"/>
      <c r="CX90" s="414" t="e">
        <f>$AS$87</f>
        <v>#DIV/0!</v>
      </c>
      <c r="CY90" s="242" t="str">
        <f>Tabla24[[#This Row],[Columna1]]</f>
        <v>C32</v>
      </c>
      <c r="CZ90" s="433" t="e">
        <f>Tabla24105[[#This Row],[Columna3]]/7</f>
        <v>#DIV/0!</v>
      </c>
      <c r="DA90" s="433" t="e">
        <f>Tabla24105[[#This Row],[Columna4]]/4.2</f>
        <v>#DIV/0!</v>
      </c>
      <c r="DB90" s="433" t="e">
        <f>Tabla2410[[#This Row],[Columna16]]</f>
        <v>#DIV/0!</v>
      </c>
      <c r="DC90" s="433" t="e">
        <f>(Tabla24105[[#This Row],[Columna4]]*DC$56/$CT$56)*$DB$55</f>
        <v>#DIV/0!</v>
      </c>
      <c r="DD90" s="433" t="e">
        <f>(Tabla24105[[#This Row],[Columna4]]*DD$56/$CT$56)*$DB$55</f>
        <v>#DIV/0!</v>
      </c>
      <c r="DE90" s="433" t="e">
        <f>(Tabla24105[[#This Row],[Columna4]]*DE$56/$CT$56)*$DB$55</f>
        <v>#DIV/0!</v>
      </c>
      <c r="DF90" s="433" t="e">
        <f>(Tabla24105[[#This Row],[Columna4]]*DF$56/$CT$56)*$DB$55</f>
        <v>#DIV/0!</v>
      </c>
      <c r="DG90" s="433" t="e">
        <f>(Tabla24105[[#This Row],[Columna4]]*DG$56/$CT$56)*$DB$55</f>
        <v>#DIV/0!</v>
      </c>
      <c r="DH90" s="433" t="e">
        <f>(Tabla24105[[#This Row],[Columna4]]*DH$56/$CT$56)*$DB$55</f>
        <v>#DIV/0!</v>
      </c>
      <c r="DI90" s="433" t="e">
        <f>(Tabla24105[[#This Row],[Columna4]]*DI$56/$CT$56)*$DB$55</f>
        <v>#DIV/0!</v>
      </c>
      <c r="DJ90" s="433" t="e">
        <f>(Tabla24105[[#This Row],[Columna4]]*DJ$56/$CT$56)*$DB$55</f>
        <v>#DIV/0!</v>
      </c>
      <c r="DK90" s="433" t="e">
        <f>(Tabla24105[[#This Row],[Columna4]]*DK$56/$CT$56)*$DB$55</f>
        <v>#DIV/0!</v>
      </c>
      <c r="DL90" s="433" t="e">
        <f>(Tabla24105[[#This Row],[Columna4]]*DL$56/$CT$56)*$DB$55</f>
        <v>#DIV/0!</v>
      </c>
      <c r="DM90" s="433" t="e">
        <f>(Tabla24105[[#This Row],[Columna4]]*DM$56/$CT$56)*$DB$55</f>
        <v>#DIV/0!</v>
      </c>
      <c r="DN90" s="433" t="e">
        <f>(Tabla24105[[#This Row],[Columna4]]*DN$56/$CT$56)*$DB$55</f>
        <v>#DIV/0!</v>
      </c>
      <c r="DP90" s="529"/>
      <c r="DQ90" s="529"/>
      <c r="DR90" s="414" t="e">
        <f>$AS$87</f>
        <v>#DIV/0!</v>
      </c>
      <c r="DS90" s="242" t="str">
        <f>Tabla24[[#This Row],[Columna1]]</f>
        <v>C32</v>
      </c>
      <c r="DT90" s="433" t="e">
        <f>Tabla241057[[#This Row],[Columna3]]/7</f>
        <v>#DIV/0!</v>
      </c>
      <c r="DU90" s="433" t="e">
        <f>Tabla241057[[#This Row],[Columna4]]/4.2</f>
        <v>#DIV/0!</v>
      </c>
      <c r="DV90" s="433" t="e">
        <f>Tabla24105[[#This Row],[Columna16]]</f>
        <v>#DIV/0!</v>
      </c>
      <c r="DW90" s="433" t="e">
        <f>(Tabla241057[[#This Row],[Columna4]]*DW$56/$DN$56)*$DV$55</f>
        <v>#DIV/0!</v>
      </c>
      <c r="DX90" s="433" t="e">
        <f>(Tabla241057[[#This Row],[Columna4]]*DX$56/$DN$56)*$DV$55</f>
        <v>#DIV/0!</v>
      </c>
      <c r="DY90" s="433" t="e">
        <f>(Tabla241057[[#This Row],[Columna4]]*DY$56/$DN$56)*$DV$55</f>
        <v>#DIV/0!</v>
      </c>
      <c r="DZ90" s="433" t="e">
        <f>(Tabla241057[[#This Row],[Columna4]]*DZ$56/$DN$56)*$DV$55</f>
        <v>#DIV/0!</v>
      </c>
      <c r="EA90" s="433" t="e">
        <f>(Tabla241057[[#This Row],[Columna4]]*EA$56/$DN$56)*$DV$55</f>
        <v>#DIV/0!</v>
      </c>
      <c r="EB90" s="433" t="e">
        <f>(Tabla241057[[#This Row],[Columna4]]*EB$56/$DN$56)*$DV$55</f>
        <v>#DIV/0!</v>
      </c>
      <c r="EC90" s="433" t="e">
        <f>(Tabla241057[[#This Row],[Columna4]]*EC$56/$DN$56)*$DV$55</f>
        <v>#DIV/0!</v>
      </c>
      <c r="ED90" s="433" t="e">
        <f>(Tabla241057[[#This Row],[Columna4]]*ED$56/$DN$56)*$DV$55</f>
        <v>#DIV/0!</v>
      </c>
      <c r="EE90" s="433" t="e">
        <f>(Tabla241057[[#This Row],[Columna4]]*EE$56/$DN$56)*$DV$55</f>
        <v>#DIV/0!</v>
      </c>
      <c r="EF90" s="433" t="e">
        <f>(Tabla241057[[#This Row],[Columna4]]*EF$56/$DN$56)*$DV$55</f>
        <v>#DIV/0!</v>
      </c>
      <c r="EG90" s="433" t="e">
        <f>(Tabla241057[[#This Row],[Columna4]]*EG$56/$DN$56)*$DV$55</f>
        <v>#DIV/0!</v>
      </c>
      <c r="EH90" s="433" t="e">
        <f>(Tabla241057[[#This Row],[Columna4]]*EH$56/$DN$56)*$DV$55</f>
        <v>#DIV/0!</v>
      </c>
      <c r="EJ90" s="529"/>
      <c r="EK90" s="529"/>
      <c r="EL90" s="414" t="e">
        <f>$AS$87</f>
        <v>#DIV/0!</v>
      </c>
      <c r="EM90" s="242" t="str">
        <f>Tabla24[[#This Row],[Columna1]]</f>
        <v>C32</v>
      </c>
      <c r="EN90" s="433" t="e">
        <f>Tabla24105711[[#This Row],[Columna3]]/7</f>
        <v>#DIV/0!</v>
      </c>
      <c r="EO90" s="433" t="e">
        <f>Tabla24105711[[#This Row],[Columna4]]/4.2</f>
        <v>#DIV/0!</v>
      </c>
      <c r="EP90" s="433" t="e">
        <f>Tabla241057[[#This Row],[Columna16]]</f>
        <v>#DIV/0!</v>
      </c>
      <c r="EQ90" s="433" t="e">
        <f>(Tabla24105711[[#This Row],[Columna4]]*EQ$56/$EH$56)*$EP$55</f>
        <v>#DIV/0!</v>
      </c>
      <c r="ER90" s="433" t="e">
        <f>(Tabla24105711[[#This Row],[Columna4]]*ER$56/$EH$56)*$EP$55</f>
        <v>#DIV/0!</v>
      </c>
      <c r="ES90" s="433" t="e">
        <f>(Tabla24105711[[#This Row],[Columna4]]*ES$56/$EH$56)*$EP$55</f>
        <v>#DIV/0!</v>
      </c>
      <c r="ET90" s="433" t="e">
        <f>(Tabla24105711[[#This Row],[Columna4]]*ET$56/$EH$56)*$EP$55</f>
        <v>#DIV/0!</v>
      </c>
      <c r="EU90" s="433" t="e">
        <f>(Tabla24105711[[#This Row],[Columna4]]*EU$56/$EH$56)*$EP$55</f>
        <v>#DIV/0!</v>
      </c>
      <c r="EV90" s="433" t="e">
        <f>(Tabla24105711[[#This Row],[Columna4]]*EV$56/$EH$56)*$EP$55</f>
        <v>#DIV/0!</v>
      </c>
      <c r="EW90" s="433" t="e">
        <f>(Tabla24105711[[#This Row],[Columna4]]*EW$56/$EH$56)*$EP$55</f>
        <v>#DIV/0!</v>
      </c>
      <c r="EX90" s="433" t="e">
        <f>(Tabla24105711[[#This Row],[Columna4]]*EX$56/$EH$56)*$EP$55</f>
        <v>#DIV/0!</v>
      </c>
      <c r="EY90" s="433" t="e">
        <f>(Tabla24105711[[#This Row],[Columna4]]*EY$56/$EH$56)*$EP$55</f>
        <v>#DIV/0!</v>
      </c>
      <c r="EZ90" s="433" t="e">
        <f>(Tabla24105711[[#This Row],[Columna4]]*EZ$56/$EH$56)*$EP$55</f>
        <v>#DIV/0!</v>
      </c>
      <c r="FA90" s="433" t="e">
        <f>(Tabla24105711[[#This Row],[Columna4]]*FA$56/$EH$56)*$EP$55</f>
        <v>#DIV/0!</v>
      </c>
      <c r="FB90" s="433" t="e">
        <f>(Tabla24105711[[#This Row],[Columna4]]*FB$56/$EH$56)*$EP$55</f>
        <v>#DIV/0!</v>
      </c>
      <c r="FD90" s="429" t="s">
        <v>134</v>
      </c>
      <c r="FE90" s="399" t="s">
        <v>131</v>
      </c>
      <c r="FF90" s="400">
        <f t="shared" si="315"/>
        <v>0</v>
      </c>
      <c r="FG90" s="400">
        <f t="shared" si="315"/>
        <v>0</v>
      </c>
      <c r="FH90" s="400">
        <f t="shared" si="315"/>
        <v>0</v>
      </c>
      <c r="FI90" s="400">
        <f t="shared" si="315"/>
        <v>0</v>
      </c>
      <c r="FJ90" s="400">
        <f t="shared" si="315"/>
        <v>0</v>
      </c>
      <c r="FK90" s="400">
        <f t="shared" si="315"/>
        <v>0</v>
      </c>
      <c r="FL90" s="400">
        <f t="shared" si="315"/>
        <v>0</v>
      </c>
      <c r="FM90" s="400">
        <f t="shared" si="315"/>
        <v>0</v>
      </c>
      <c r="FN90" s="400">
        <f t="shared" si="315"/>
        <v>0</v>
      </c>
      <c r="FO90" s="400">
        <f t="shared" si="315"/>
        <v>0</v>
      </c>
      <c r="FP90" s="400">
        <f t="shared" si="315"/>
        <v>0</v>
      </c>
      <c r="FQ90" s="400">
        <f t="shared" si="315"/>
        <v>0</v>
      </c>
      <c r="FR90" s="363">
        <f t="shared" si="197"/>
        <v>0</v>
      </c>
      <c r="FS90" s="260" t="e">
        <f t="shared" si="198"/>
        <v>#DIV/0!</v>
      </c>
      <c r="FW90" s="260" t="e">
        <f>FW89/FW68</f>
        <v>#DIV/0!</v>
      </c>
      <c r="FX90" s="260" t="e">
        <f t="shared" ref="FX90:GH90" si="320">FX89/FX68</f>
        <v>#DIV/0!</v>
      </c>
      <c r="FY90" s="260" t="e">
        <f t="shared" si="320"/>
        <v>#DIV/0!</v>
      </c>
      <c r="FZ90" s="260" t="e">
        <f t="shared" si="320"/>
        <v>#DIV/0!</v>
      </c>
      <c r="GA90" s="260" t="e">
        <f t="shared" si="320"/>
        <v>#DIV/0!</v>
      </c>
      <c r="GB90" s="260" t="e">
        <f t="shared" si="320"/>
        <v>#DIV/0!</v>
      </c>
      <c r="GC90" s="260" t="e">
        <f t="shared" si="320"/>
        <v>#DIV/0!</v>
      </c>
      <c r="GD90" s="260" t="e">
        <f t="shared" si="320"/>
        <v>#DIV/0!</v>
      </c>
      <c r="GE90" s="260" t="e">
        <f t="shared" si="320"/>
        <v>#DIV/0!</v>
      </c>
      <c r="GF90" s="260" t="e">
        <f t="shared" si="320"/>
        <v>#DIV/0!</v>
      </c>
      <c r="GG90" s="260" t="e">
        <f t="shared" si="320"/>
        <v>#DIV/0!</v>
      </c>
      <c r="GH90" s="260" t="e">
        <f t="shared" si="320"/>
        <v>#DIV/0!</v>
      </c>
      <c r="GJ90" s="262"/>
      <c r="HD90" s="72" t="s">
        <v>559</v>
      </c>
      <c r="HE90" s="73"/>
      <c r="HI90" s="51"/>
    </row>
    <row r="91" spans="39:247" ht="14.4" customHeight="1" x14ac:dyDescent="0.3">
      <c r="AM91" s="412">
        <f t="shared" si="270"/>
        <v>0</v>
      </c>
      <c r="AN91" s="412">
        <f t="shared" si="271"/>
        <v>0</v>
      </c>
      <c r="AO91" s="412">
        <f t="shared" si="272"/>
        <v>0</v>
      </c>
      <c r="AP91" s="412">
        <f t="shared" si="273"/>
        <v>0</v>
      </c>
      <c r="AQ91" s="413" t="s">
        <v>833</v>
      </c>
      <c r="AR91" s="297">
        <f t="shared" si="274"/>
        <v>0</v>
      </c>
      <c r="AS91" s="414" t="e">
        <f t="shared" si="267"/>
        <v>#DIV/0!</v>
      </c>
      <c r="AT91" s="529"/>
      <c r="AU91" s="529"/>
      <c r="AV91" s="299">
        <v>0</v>
      </c>
      <c r="AW91" s="300">
        <v>0</v>
      </c>
      <c r="AX91" s="301"/>
      <c r="BH91" s="529"/>
      <c r="BI91" s="529"/>
      <c r="BJ91" s="414" t="e">
        <f>$AS$88</f>
        <v>#DIV/0!</v>
      </c>
      <c r="BK91" s="242" t="str">
        <f t="shared" si="277"/>
        <v>C33</v>
      </c>
      <c r="BL91" s="433">
        <f>Tabla24[[#This Row],[Columna3]]/7</f>
        <v>0</v>
      </c>
      <c r="BM91" s="433">
        <f>Tabla24[[#This Row],[Columna4]]/4.2</f>
        <v>0</v>
      </c>
      <c r="BN91" s="433">
        <f t="shared" si="278"/>
        <v>0</v>
      </c>
      <c r="BO91" s="433">
        <f t="shared" si="279"/>
        <v>0</v>
      </c>
      <c r="BP91" s="433">
        <f t="shared" si="280"/>
        <v>0</v>
      </c>
      <c r="BQ91" s="433">
        <f t="shared" si="281"/>
        <v>0</v>
      </c>
      <c r="BR91" s="433">
        <f t="shared" si="282"/>
        <v>0</v>
      </c>
      <c r="BS91" s="433">
        <f t="shared" si="283"/>
        <v>0</v>
      </c>
      <c r="BT91" s="433">
        <f t="shared" si="284"/>
        <v>0</v>
      </c>
      <c r="BU91" s="433">
        <f t="shared" si="285"/>
        <v>0</v>
      </c>
      <c r="BV91" s="433">
        <f t="shared" si="286"/>
        <v>0</v>
      </c>
      <c r="BW91" s="433">
        <f t="shared" si="287"/>
        <v>0</v>
      </c>
      <c r="BX91" s="433">
        <f t="shared" si="288"/>
        <v>0</v>
      </c>
      <c r="BY91" s="433">
        <f t="shared" si="289"/>
        <v>0</v>
      </c>
      <c r="BZ91" s="433">
        <f t="shared" si="290"/>
        <v>0</v>
      </c>
      <c r="CB91" s="529"/>
      <c r="CC91" s="529"/>
      <c r="CD91" s="414" t="e">
        <f>$AS$88</f>
        <v>#DIV/0!</v>
      </c>
      <c r="CE91" s="242" t="str">
        <f>Tabla24[[#This Row],[Columna1]]</f>
        <v>C33</v>
      </c>
      <c r="CF91" s="433">
        <f>Tabla2410[[#This Row],[Columna3]]/7</f>
        <v>0</v>
      </c>
      <c r="CG91" s="433">
        <f>Tabla2410[[#This Row],[Columna4]]/4.2</f>
        <v>0</v>
      </c>
      <c r="CH91" s="433">
        <f>Tabla24[[#This Row],[Columna16]]</f>
        <v>0</v>
      </c>
      <c r="CI91" s="433" t="e">
        <f>(Tabla2410[[#This Row],[Columna4]]*CI$56/$BZ$56)*$CH$55</f>
        <v>#DIV/0!</v>
      </c>
      <c r="CJ91" s="433" t="e">
        <f>(Tabla2410[[#This Row],[Columna4]]*CJ$56/$BZ$56)*$CH$55</f>
        <v>#DIV/0!</v>
      </c>
      <c r="CK91" s="433" t="e">
        <f>(Tabla2410[[#This Row],[Columna4]]*CK$56/$BZ$56)*$CH$55</f>
        <v>#DIV/0!</v>
      </c>
      <c r="CL91" s="433" t="e">
        <f>(Tabla2410[[#This Row],[Columna4]]*CL$56/$BZ$56)*$CH$55</f>
        <v>#DIV/0!</v>
      </c>
      <c r="CM91" s="433" t="e">
        <f>(Tabla2410[[#This Row],[Columna4]]*CM$56/$BZ$56)*$CH$55</f>
        <v>#DIV/0!</v>
      </c>
      <c r="CN91" s="433" t="e">
        <f>(Tabla2410[[#This Row],[Columna4]]*CN$56/$BZ$56)*$CH$55</f>
        <v>#DIV/0!</v>
      </c>
      <c r="CO91" s="433" t="e">
        <f>(Tabla2410[[#This Row],[Columna4]]*CO$56/$BZ$56)*$CH$55</f>
        <v>#DIV/0!</v>
      </c>
      <c r="CP91" s="433" t="e">
        <f>(Tabla2410[[#This Row],[Columna4]]*CP$56/$BZ$56)*$CH$55</f>
        <v>#DIV/0!</v>
      </c>
      <c r="CQ91" s="433" t="e">
        <f>(Tabla2410[[#This Row],[Columna4]]*CQ$56/$BZ$56)*$CH$55</f>
        <v>#DIV/0!</v>
      </c>
      <c r="CR91" s="433" t="e">
        <f>(Tabla2410[[#This Row],[Columna4]]*CR$56/$BZ$56)*$CH$55</f>
        <v>#DIV/0!</v>
      </c>
      <c r="CS91" s="433" t="e">
        <f>(Tabla2410[[#This Row],[Columna4]]*CS$56/$BZ$56)*$CH$55</f>
        <v>#DIV/0!</v>
      </c>
      <c r="CT91" s="433" t="e">
        <f>(Tabla2410[[#This Row],[Columna4]]*CT$56/$BZ$56)*$CH$55</f>
        <v>#DIV/0!</v>
      </c>
      <c r="CV91" s="529"/>
      <c r="CW91" s="529"/>
      <c r="CX91" s="414" t="e">
        <f>$AS$88</f>
        <v>#DIV/0!</v>
      </c>
      <c r="CY91" s="242" t="str">
        <f>Tabla24[[#This Row],[Columna1]]</f>
        <v>C33</v>
      </c>
      <c r="CZ91" s="433" t="e">
        <f>Tabla24105[[#This Row],[Columna3]]/7</f>
        <v>#DIV/0!</v>
      </c>
      <c r="DA91" s="433" t="e">
        <f>Tabla24105[[#This Row],[Columna4]]/4.2</f>
        <v>#DIV/0!</v>
      </c>
      <c r="DB91" s="433" t="e">
        <f>Tabla2410[[#This Row],[Columna16]]</f>
        <v>#DIV/0!</v>
      </c>
      <c r="DC91" s="433" t="e">
        <f>(Tabla24105[[#This Row],[Columna4]]*DC$56/$CT$56)*$DB$55</f>
        <v>#DIV/0!</v>
      </c>
      <c r="DD91" s="433" t="e">
        <f>(Tabla24105[[#This Row],[Columna4]]*DD$56/$CT$56)*$DB$55</f>
        <v>#DIV/0!</v>
      </c>
      <c r="DE91" s="433" t="e">
        <f>(Tabla24105[[#This Row],[Columna4]]*DE$56/$CT$56)*$DB$55</f>
        <v>#DIV/0!</v>
      </c>
      <c r="DF91" s="433" t="e">
        <f>(Tabla24105[[#This Row],[Columna4]]*DF$56/$CT$56)*$DB$55</f>
        <v>#DIV/0!</v>
      </c>
      <c r="DG91" s="433" t="e">
        <f>(Tabla24105[[#This Row],[Columna4]]*DG$56/$CT$56)*$DB$55</f>
        <v>#DIV/0!</v>
      </c>
      <c r="DH91" s="433" t="e">
        <f>(Tabla24105[[#This Row],[Columna4]]*DH$56/$CT$56)*$DB$55</f>
        <v>#DIV/0!</v>
      </c>
      <c r="DI91" s="433" t="e">
        <f>(Tabla24105[[#This Row],[Columna4]]*DI$56/$CT$56)*$DB$55</f>
        <v>#DIV/0!</v>
      </c>
      <c r="DJ91" s="433" t="e">
        <f>(Tabla24105[[#This Row],[Columna4]]*DJ$56/$CT$56)*$DB$55</f>
        <v>#DIV/0!</v>
      </c>
      <c r="DK91" s="433" t="e">
        <f>(Tabla24105[[#This Row],[Columna4]]*DK$56/$CT$56)*$DB$55</f>
        <v>#DIV/0!</v>
      </c>
      <c r="DL91" s="433" t="e">
        <f>(Tabla24105[[#This Row],[Columna4]]*DL$56/$CT$56)*$DB$55</f>
        <v>#DIV/0!</v>
      </c>
      <c r="DM91" s="433" t="e">
        <f>(Tabla24105[[#This Row],[Columna4]]*DM$56/$CT$56)*$DB$55</f>
        <v>#DIV/0!</v>
      </c>
      <c r="DN91" s="433" t="e">
        <f>(Tabla24105[[#This Row],[Columna4]]*DN$56/$CT$56)*$DB$55</f>
        <v>#DIV/0!</v>
      </c>
      <c r="DP91" s="529"/>
      <c r="DQ91" s="529"/>
      <c r="DR91" s="414" t="e">
        <f>$AS$88</f>
        <v>#DIV/0!</v>
      </c>
      <c r="DS91" s="242" t="str">
        <f>Tabla24[[#This Row],[Columna1]]</f>
        <v>C33</v>
      </c>
      <c r="DT91" s="433" t="e">
        <f>Tabla241057[[#This Row],[Columna3]]/7</f>
        <v>#DIV/0!</v>
      </c>
      <c r="DU91" s="433" t="e">
        <f>Tabla241057[[#This Row],[Columna4]]/4.2</f>
        <v>#DIV/0!</v>
      </c>
      <c r="DV91" s="433" t="e">
        <f>Tabla24105[[#This Row],[Columna16]]</f>
        <v>#DIV/0!</v>
      </c>
      <c r="DW91" s="433" t="e">
        <f>(Tabla241057[[#This Row],[Columna4]]*DW$56/$DN$56)*$DV$55</f>
        <v>#DIV/0!</v>
      </c>
      <c r="DX91" s="433" t="e">
        <f>(Tabla241057[[#This Row],[Columna4]]*DX$56/$DN$56)*$DV$55</f>
        <v>#DIV/0!</v>
      </c>
      <c r="DY91" s="433" t="e">
        <f>(Tabla241057[[#This Row],[Columna4]]*DY$56/$DN$56)*$DV$55</f>
        <v>#DIV/0!</v>
      </c>
      <c r="DZ91" s="433" t="e">
        <f>(Tabla241057[[#This Row],[Columna4]]*DZ$56/$DN$56)*$DV$55</f>
        <v>#DIV/0!</v>
      </c>
      <c r="EA91" s="433" t="e">
        <f>(Tabla241057[[#This Row],[Columna4]]*EA$56/$DN$56)*$DV$55</f>
        <v>#DIV/0!</v>
      </c>
      <c r="EB91" s="433" t="e">
        <f>(Tabla241057[[#This Row],[Columna4]]*EB$56/$DN$56)*$DV$55</f>
        <v>#DIV/0!</v>
      </c>
      <c r="EC91" s="433" t="e">
        <f>(Tabla241057[[#This Row],[Columna4]]*EC$56/$DN$56)*$DV$55</f>
        <v>#DIV/0!</v>
      </c>
      <c r="ED91" s="433" t="e">
        <f>(Tabla241057[[#This Row],[Columna4]]*ED$56/$DN$56)*$DV$55</f>
        <v>#DIV/0!</v>
      </c>
      <c r="EE91" s="433" t="e">
        <f>(Tabla241057[[#This Row],[Columna4]]*EE$56/$DN$56)*$DV$55</f>
        <v>#DIV/0!</v>
      </c>
      <c r="EF91" s="433" t="e">
        <f>(Tabla241057[[#This Row],[Columna4]]*EF$56/$DN$56)*$DV$55</f>
        <v>#DIV/0!</v>
      </c>
      <c r="EG91" s="433" t="e">
        <f>(Tabla241057[[#This Row],[Columna4]]*EG$56/$DN$56)*$DV$55</f>
        <v>#DIV/0!</v>
      </c>
      <c r="EH91" s="433" t="e">
        <f>(Tabla241057[[#This Row],[Columna4]]*EH$56/$DN$56)*$DV$55</f>
        <v>#DIV/0!</v>
      </c>
      <c r="EJ91" s="529"/>
      <c r="EK91" s="529"/>
      <c r="EL91" s="414" t="e">
        <f>$AS$88</f>
        <v>#DIV/0!</v>
      </c>
      <c r="EM91" s="242" t="str">
        <f>Tabla24[[#This Row],[Columna1]]</f>
        <v>C33</v>
      </c>
      <c r="EN91" s="433" t="e">
        <f>Tabla24105711[[#This Row],[Columna3]]/7</f>
        <v>#DIV/0!</v>
      </c>
      <c r="EO91" s="433" t="e">
        <f>Tabla24105711[[#This Row],[Columna4]]/4.2</f>
        <v>#DIV/0!</v>
      </c>
      <c r="EP91" s="433" t="e">
        <f>Tabla241057[[#This Row],[Columna16]]</f>
        <v>#DIV/0!</v>
      </c>
      <c r="EQ91" s="433" t="e">
        <f>(Tabla24105711[[#This Row],[Columna4]]*EQ$56/$EH$56)*$EP$55</f>
        <v>#DIV/0!</v>
      </c>
      <c r="ER91" s="433" t="e">
        <f>(Tabla24105711[[#This Row],[Columna4]]*ER$56/$EH$56)*$EP$55</f>
        <v>#DIV/0!</v>
      </c>
      <c r="ES91" s="433" t="e">
        <f>(Tabla24105711[[#This Row],[Columna4]]*ES$56/$EH$56)*$EP$55</f>
        <v>#DIV/0!</v>
      </c>
      <c r="ET91" s="433" t="e">
        <f>(Tabla24105711[[#This Row],[Columna4]]*ET$56/$EH$56)*$EP$55</f>
        <v>#DIV/0!</v>
      </c>
      <c r="EU91" s="433" t="e">
        <f>(Tabla24105711[[#This Row],[Columna4]]*EU$56/$EH$56)*$EP$55</f>
        <v>#DIV/0!</v>
      </c>
      <c r="EV91" s="433" t="e">
        <f>(Tabla24105711[[#This Row],[Columna4]]*EV$56/$EH$56)*$EP$55</f>
        <v>#DIV/0!</v>
      </c>
      <c r="EW91" s="433" t="e">
        <f>(Tabla24105711[[#This Row],[Columna4]]*EW$56/$EH$56)*$EP$55</f>
        <v>#DIV/0!</v>
      </c>
      <c r="EX91" s="433" t="e">
        <f>(Tabla24105711[[#This Row],[Columna4]]*EX$56/$EH$56)*$EP$55</f>
        <v>#DIV/0!</v>
      </c>
      <c r="EY91" s="433" t="e">
        <f>(Tabla24105711[[#This Row],[Columna4]]*EY$56/$EH$56)*$EP$55</f>
        <v>#DIV/0!</v>
      </c>
      <c r="EZ91" s="433" t="e">
        <f>(Tabla24105711[[#This Row],[Columna4]]*EZ$56/$EH$56)*$EP$55</f>
        <v>#DIV/0!</v>
      </c>
      <c r="FA91" s="433" t="e">
        <f>(Tabla24105711[[#This Row],[Columna4]]*FA$56/$EH$56)*$EP$55</f>
        <v>#DIV/0!</v>
      </c>
      <c r="FB91" s="433" t="e">
        <f>(Tabla24105711[[#This Row],[Columna4]]*FB$56/$EH$56)*$EP$55</f>
        <v>#DIV/0!</v>
      </c>
      <c r="FD91" s="397" t="s">
        <v>136</v>
      </c>
      <c r="FE91" s="399" t="s">
        <v>133</v>
      </c>
      <c r="FF91" s="400">
        <f t="shared" si="315"/>
        <v>0</v>
      </c>
      <c r="FG91" s="400">
        <f t="shared" si="315"/>
        <v>0</v>
      </c>
      <c r="FH91" s="400">
        <f t="shared" si="315"/>
        <v>0</v>
      </c>
      <c r="FI91" s="400">
        <f t="shared" si="315"/>
        <v>0</v>
      </c>
      <c r="FJ91" s="400">
        <f t="shared" si="315"/>
        <v>0</v>
      </c>
      <c r="FK91" s="400">
        <f t="shared" si="315"/>
        <v>0</v>
      </c>
      <c r="FL91" s="400">
        <f t="shared" si="315"/>
        <v>0</v>
      </c>
      <c r="FM91" s="400">
        <f t="shared" si="315"/>
        <v>0</v>
      </c>
      <c r="FN91" s="400">
        <f t="shared" si="315"/>
        <v>0</v>
      </c>
      <c r="FO91" s="400">
        <f t="shared" si="315"/>
        <v>0</v>
      </c>
      <c r="FP91" s="400">
        <f t="shared" si="315"/>
        <v>0</v>
      </c>
      <c r="FQ91" s="400">
        <f t="shared" si="315"/>
        <v>0</v>
      </c>
      <c r="FR91" s="363">
        <f t="shared" si="197"/>
        <v>0</v>
      </c>
      <c r="FS91" s="260" t="e">
        <f t="shared" si="198"/>
        <v>#DIV/0!</v>
      </c>
      <c r="FX91" s="351"/>
      <c r="FY91" s="351"/>
      <c r="FZ91" s="351"/>
      <c r="GA91" s="351"/>
      <c r="GB91" s="351"/>
      <c r="GC91" s="351"/>
      <c r="GD91" s="351"/>
      <c r="GE91" s="351"/>
      <c r="GF91" s="351"/>
      <c r="GG91" s="351"/>
      <c r="GH91" s="351"/>
      <c r="GJ91" s="262"/>
      <c r="HD91" s="65" t="s">
        <v>560</v>
      </c>
      <c r="HE91" s="67">
        <v>0</v>
      </c>
      <c r="HF91" s="74"/>
      <c r="HG91" s="75"/>
      <c r="HH91" s="76"/>
      <c r="HI91" s="51"/>
    </row>
    <row r="92" spans="39:247" ht="14.4" customHeight="1" x14ac:dyDescent="0.3">
      <c r="AM92" s="412">
        <f t="shared" si="270"/>
        <v>0</v>
      </c>
      <c r="AN92" s="412">
        <f t="shared" si="271"/>
        <v>0</v>
      </c>
      <c r="AO92" s="412">
        <f t="shared" si="272"/>
        <v>0</v>
      </c>
      <c r="AP92" s="412">
        <f t="shared" si="273"/>
        <v>0</v>
      </c>
      <c r="AQ92" s="413" t="s">
        <v>835</v>
      </c>
      <c r="AR92" s="297">
        <f t="shared" si="274"/>
        <v>0</v>
      </c>
      <c r="AS92" s="414" t="e">
        <f t="shared" si="267"/>
        <v>#DIV/0!</v>
      </c>
      <c r="AT92" s="529"/>
      <c r="AU92" s="529"/>
      <c r="AV92" s="299">
        <v>0</v>
      </c>
      <c r="AW92" s="300">
        <v>0</v>
      </c>
      <c r="AX92" s="301"/>
      <c r="BH92" s="529"/>
      <c r="BI92" s="529"/>
      <c r="BJ92" s="414" t="e">
        <f>$AS$89</f>
        <v>#DIV/0!</v>
      </c>
      <c r="BK92" s="242" t="str">
        <f t="shared" si="277"/>
        <v>C34</v>
      </c>
      <c r="BL92" s="433">
        <f>Tabla24[[#This Row],[Columna3]]/7</f>
        <v>0</v>
      </c>
      <c r="BM92" s="433">
        <f>Tabla24[[#This Row],[Columna4]]/4.2</f>
        <v>0</v>
      </c>
      <c r="BN92" s="433">
        <f t="shared" si="278"/>
        <v>0</v>
      </c>
      <c r="BO92" s="433">
        <f t="shared" si="279"/>
        <v>0</v>
      </c>
      <c r="BP92" s="433">
        <f t="shared" si="280"/>
        <v>0</v>
      </c>
      <c r="BQ92" s="433">
        <f t="shared" si="281"/>
        <v>0</v>
      </c>
      <c r="BR92" s="433">
        <f t="shared" si="282"/>
        <v>0</v>
      </c>
      <c r="BS92" s="433">
        <f t="shared" si="283"/>
        <v>0</v>
      </c>
      <c r="BT92" s="433">
        <f t="shared" si="284"/>
        <v>0</v>
      </c>
      <c r="BU92" s="433">
        <f t="shared" si="285"/>
        <v>0</v>
      </c>
      <c r="BV92" s="433">
        <f t="shared" si="286"/>
        <v>0</v>
      </c>
      <c r="BW92" s="433">
        <f t="shared" si="287"/>
        <v>0</v>
      </c>
      <c r="BX92" s="433">
        <f t="shared" si="288"/>
        <v>0</v>
      </c>
      <c r="BY92" s="433">
        <f t="shared" si="289"/>
        <v>0</v>
      </c>
      <c r="BZ92" s="433">
        <f t="shared" si="290"/>
        <v>0</v>
      </c>
      <c r="CB92" s="529"/>
      <c r="CC92" s="529"/>
      <c r="CD92" s="414" t="e">
        <f>$AS$89</f>
        <v>#DIV/0!</v>
      </c>
      <c r="CE92" s="242" t="str">
        <f>Tabla24[[#This Row],[Columna1]]</f>
        <v>C34</v>
      </c>
      <c r="CF92" s="433">
        <f>Tabla2410[[#This Row],[Columna3]]/7</f>
        <v>0</v>
      </c>
      <c r="CG92" s="433">
        <f>Tabla2410[[#This Row],[Columna4]]/4.2</f>
        <v>0</v>
      </c>
      <c r="CH92" s="433">
        <f>Tabla24[[#This Row],[Columna16]]</f>
        <v>0</v>
      </c>
      <c r="CI92" s="433" t="e">
        <f>(Tabla2410[[#This Row],[Columna4]]*CI$56/$BZ$56)*$CH$55</f>
        <v>#DIV/0!</v>
      </c>
      <c r="CJ92" s="433" t="e">
        <f>(Tabla2410[[#This Row],[Columna4]]*CJ$56/$BZ$56)*$CH$55</f>
        <v>#DIV/0!</v>
      </c>
      <c r="CK92" s="433" t="e">
        <f>(Tabla2410[[#This Row],[Columna4]]*CK$56/$BZ$56)*$CH$55</f>
        <v>#DIV/0!</v>
      </c>
      <c r="CL92" s="433" t="e">
        <f>(Tabla2410[[#This Row],[Columna4]]*CL$56/$BZ$56)*$CH$55</f>
        <v>#DIV/0!</v>
      </c>
      <c r="CM92" s="433" t="e">
        <f>(Tabla2410[[#This Row],[Columna4]]*CM$56/$BZ$56)*$CH$55</f>
        <v>#DIV/0!</v>
      </c>
      <c r="CN92" s="433" t="e">
        <f>(Tabla2410[[#This Row],[Columna4]]*CN$56/$BZ$56)*$CH$55</f>
        <v>#DIV/0!</v>
      </c>
      <c r="CO92" s="433" t="e">
        <f>(Tabla2410[[#This Row],[Columna4]]*CO$56/$BZ$56)*$CH$55</f>
        <v>#DIV/0!</v>
      </c>
      <c r="CP92" s="433" t="e">
        <f>(Tabla2410[[#This Row],[Columna4]]*CP$56/$BZ$56)*$CH$55</f>
        <v>#DIV/0!</v>
      </c>
      <c r="CQ92" s="433" t="e">
        <f>(Tabla2410[[#This Row],[Columna4]]*CQ$56/$BZ$56)*$CH$55</f>
        <v>#DIV/0!</v>
      </c>
      <c r="CR92" s="433" t="e">
        <f>(Tabla2410[[#This Row],[Columna4]]*CR$56/$BZ$56)*$CH$55</f>
        <v>#DIV/0!</v>
      </c>
      <c r="CS92" s="433" t="e">
        <f>(Tabla2410[[#This Row],[Columna4]]*CS$56/$BZ$56)*$CH$55</f>
        <v>#DIV/0!</v>
      </c>
      <c r="CT92" s="433" t="e">
        <f>(Tabla2410[[#This Row],[Columna4]]*CT$56/$BZ$56)*$CH$55</f>
        <v>#DIV/0!</v>
      </c>
      <c r="CV92" s="529"/>
      <c r="CW92" s="529"/>
      <c r="CX92" s="414" t="e">
        <f>$AS$89</f>
        <v>#DIV/0!</v>
      </c>
      <c r="CY92" s="242" t="str">
        <f>Tabla24[[#This Row],[Columna1]]</f>
        <v>C34</v>
      </c>
      <c r="CZ92" s="433" t="e">
        <f>Tabla24105[[#This Row],[Columna3]]/7</f>
        <v>#DIV/0!</v>
      </c>
      <c r="DA92" s="433" t="e">
        <f>Tabla24105[[#This Row],[Columna4]]/4.2</f>
        <v>#DIV/0!</v>
      </c>
      <c r="DB92" s="433" t="e">
        <f>Tabla2410[[#This Row],[Columna16]]</f>
        <v>#DIV/0!</v>
      </c>
      <c r="DC92" s="433" t="e">
        <f>(Tabla24105[[#This Row],[Columna4]]*DC$56/$CT$56)*$DB$55</f>
        <v>#DIV/0!</v>
      </c>
      <c r="DD92" s="433" t="e">
        <f>(Tabla24105[[#This Row],[Columna4]]*DD$56/$CT$56)*$DB$55</f>
        <v>#DIV/0!</v>
      </c>
      <c r="DE92" s="433" t="e">
        <f>(Tabla24105[[#This Row],[Columna4]]*DE$56/$CT$56)*$DB$55</f>
        <v>#DIV/0!</v>
      </c>
      <c r="DF92" s="433" t="e">
        <f>(Tabla24105[[#This Row],[Columna4]]*DF$56/$CT$56)*$DB$55</f>
        <v>#DIV/0!</v>
      </c>
      <c r="DG92" s="433" t="e">
        <f>(Tabla24105[[#This Row],[Columna4]]*DG$56/$CT$56)*$DB$55</f>
        <v>#DIV/0!</v>
      </c>
      <c r="DH92" s="433" t="e">
        <f>(Tabla24105[[#This Row],[Columna4]]*DH$56/$CT$56)*$DB$55</f>
        <v>#DIV/0!</v>
      </c>
      <c r="DI92" s="433" t="e">
        <f>(Tabla24105[[#This Row],[Columna4]]*DI$56/$CT$56)*$DB$55</f>
        <v>#DIV/0!</v>
      </c>
      <c r="DJ92" s="433" t="e">
        <f>(Tabla24105[[#This Row],[Columna4]]*DJ$56/$CT$56)*$DB$55</f>
        <v>#DIV/0!</v>
      </c>
      <c r="DK92" s="433" t="e">
        <f>(Tabla24105[[#This Row],[Columna4]]*DK$56/$CT$56)*$DB$55</f>
        <v>#DIV/0!</v>
      </c>
      <c r="DL92" s="433" t="e">
        <f>(Tabla24105[[#This Row],[Columna4]]*DL$56/$CT$56)*$DB$55</f>
        <v>#DIV/0!</v>
      </c>
      <c r="DM92" s="433" t="e">
        <f>(Tabla24105[[#This Row],[Columna4]]*DM$56/$CT$56)*$DB$55</f>
        <v>#DIV/0!</v>
      </c>
      <c r="DN92" s="433" t="e">
        <f>(Tabla24105[[#This Row],[Columna4]]*DN$56/$CT$56)*$DB$55</f>
        <v>#DIV/0!</v>
      </c>
      <c r="DP92" s="529"/>
      <c r="DQ92" s="529"/>
      <c r="DR92" s="414" t="e">
        <f>$AS$89</f>
        <v>#DIV/0!</v>
      </c>
      <c r="DS92" s="242" t="str">
        <f>Tabla24[[#This Row],[Columna1]]</f>
        <v>C34</v>
      </c>
      <c r="DT92" s="433" t="e">
        <f>Tabla241057[[#This Row],[Columna3]]/7</f>
        <v>#DIV/0!</v>
      </c>
      <c r="DU92" s="433" t="e">
        <f>Tabla241057[[#This Row],[Columna4]]/4.2</f>
        <v>#DIV/0!</v>
      </c>
      <c r="DV92" s="433" t="e">
        <f>Tabla24105[[#This Row],[Columna16]]</f>
        <v>#DIV/0!</v>
      </c>
      <c r="DW92" s="433" t="e">
        <f>(Tabla241057[[#This Row],[Columna4]]*DW$56/$DN$56)*$DV$55</f>
        <v>#DIV/0!</v>
      </c>
      <c r="DX92" s="433" t="e">
        <f>(Tabla241057[[#This Row],[Columna4]]*DX$56/$DN$56)*$DV$55</f>
        <v>#DIV/0!</v>
      </c>
      <c r="DY92" s="433" t="e">
        <f>(Tabla241057[[#This Row],[Columna4]]*DY$56/$DN$56)*$DV$55</f>
        <v>#DIV/0!</v>
      </c>
      <c r="DZ92" s="433" t="e">
        <f>(Tabla241057[[#This Row],[Columna4]]*DZ$56/$DN$56)*$DV$55</f>
        <v>#DIV/0!</v>
      </c>
      <c r="EA92" s="433" t="e">
        <f>(Tabla241057[[#This Row],[Columna4]]*EA$56/$DN$56)*$DV$55</f>
        <v>#DIV/0!</v>
      </c>
      <c r="EB92" s="433" t="e">
        <f>(Tabla241057[[#This Row],[Columna4]]*EB$56/$DN$56)*$DV$55</f>
        <v>#DIV/0!</v>
      </c>
      <c r="EC92" s="433" t="e">
        <f>(Tabla241057[[#This Row],[Columna4]]*EC$56/$DN$56)*$DV$55</f>
        <v>#DIV/0!</v>
      </c>
      <c r="ED92" s="433" t="e">
        <f>(Tabla241057[[#This Row],[Columna4]]*ED$56/$DN$56)*$DV$55</f>
        <v>#DIV/0!</v>
      </c>
      <c r="EE92" s="433" t="e">
        <f>(Tabla241057[[#This Row],[Columna4]]*EE$56/$DN$56)*$DV$55</f>
        <v>#DIV/0!</v>
      </c>
      <c r="EF92" s="433" t="e">
        <f>(Tabla241057[[#This Row],[Columna4]]*EF$56/$DN$56)*$DV$55</f>
        <v>#DIV/0!</v>
      </c>
      <c r="EG92" s="433" t="e">
        <f>(Tabla241057[[#This Row],[Columna4]]*EG$56/$DN$56)*$DV$55</f>
        <v>#DIV/0!</v>
      </c>
      <c r="EH92" s="433" t="e">
        <f>(Tabla241057[[#This Row],[Columna4]]*EH$56/$DN$56)*$DV$55</f>
        <v>#DIV/0!</v>
      </c>
      <c r="EJ92" s="529"/>
      <c r="EK92" s="529"/>
      <c r="EL92" s="414" t="e">
        <f>$AS$89</f>
        <v>#DIV/0!</v>
      </c>
      <c r="EM92" s="242" t="str">
        <f>Tabla24[[#This Row],[Columna1]]</f>
        <v>C34</v>
      </c>
      <c r="EN92" s="433" t="e">
        <f>Tabla24105711[[#This Row],[Columna3]]/7</f>
        <v>#DIV/0!</v>
      </c>
      <c r="EO92" s="433" t="e">
        <f>Tabla24105711[[#This Row],[Columna4]]/4.2</f>
        <v>#DIV/0!</v>
      </c>
      <c r="EP92" s="433" t="e">
        <f>Tabla241057[[#This Row],[Columna16]]</f>
        <v>#DIV/0!</v>
      </c>
      <c r="EQ92" s="433" t="e">
        <f>(Tabla24105711[[#This Row],[Columna4]]*EQ$56/$EH$56)*$EP$55</f>
        <v>#DIV/0!</v>
      </c>
      <c r="ER92" s="433" t="e">
        <f>(Tabla24105711[[#This Row],[Columna4]]*ER$56/$EH$56)*$EP$55</f>
        <v>#DIV/0!</v>
      </c>
      <c r="ES92" s="433" t="e">
        <f>(Tabla24105711[[#This Row],[Columna4]]*ES$56/$EH$56)*$EP$55</f>
        <v>#DIV/0!</v>
      </c>
      <c r="ET92" s="433" t="e">
        <f>(Tabla24105711[[#This Row],[Columna4]]*ET$56/$EH$56)*$EP$55</f>
        <v>#DIV/0!</v>
      </c>
      <c r="EU92" s="433" t="e">
        <f>(Tabla24105711[[#This Row],[Columna4]]*EU$56/$EH$56)*$EP$55</f>
        <v>#DIV/0!</v>
      </c>
      <c r="EV92" s="433" t="e">
        <f>(Tabla24105711[[#This Row],[Columna4]]*EV$56/$EH$56)*$EP$55</f>
        <v>#DIV/0!</v>
      </c>
      <c r="EW92" s="433" t="e">
        <f>(Tabla24105711[[#This Row],[Columna4]]*EW$56/$EH$56)*$EP$55</f>
        <v>#DIV/0!</v>
      </c>
      <c r="EX92" s="433" t="e">
        <f>(Tabla24105711[[#This Row],[Columna4]]*EX$56/$EH$56)*$EP$55</f>
        <v>#DIV/0!</v>
      </c>
      <c r="EY92" s="433" t="e">
        <f>(Tabla24105711[[#This Row],[Columna4]]*EY$56/$EH$56)*$EP$55</f>
        <v>#DIV/0!</v>
      </c>
      <c r="EZ92" s="433" t="e">
        <f>(Tabla24105711[[#This Row],[Columna4]]*EZ$56/$EH$56)*$EP$55</f>
        <v>#DIV/0!</v>
      </c>
      <c r="FA92" s="433" t="e">
        <f>(Tabla24105711[[#This Row],[Columna4]]*FA$56/$EH$56)*$EP$55</f>
        <v>#DIV/0!</v>
      </c>
      <c r="FB92" s="433" t="e">
        <f>(Tabla24105711[[#This Row],[Columna4]]*FB$56/$EH$56)*$EP$55</f>
        <v>#DIV/0!</v>
      </c>
      <c r="FD92" s="397" t="s">
        <v>138</v>
      </c>
      <c r="FE92" s="357" t="s">
        <v>135</v>
      </c>
      <c r="FF92" s="325">
        <f>SUM(FF93:FF97)</f>
        <v>0</v>
      </c>
      <c r="FG92" s="325">
        <f t="shared" ref="FG92:FQ92" si="321">SUM(FG93:FG97)</f>
        <v>0</v>
      </c>
      <c r="FH92" s="325">
        <f t="shared" si="321"/>
        <v>0</v>
      </c>
      <c r="FI92" s="325">
        <f t="shared" si="321"/>
        <v>0</v>
      </c>
      <c r="FJ92" s="325">
        <f t="shared" si="321"/>
        <v>0</v>
      </c>
      <c r="FK92" s="325">
        <f t="shared" si="321"/>
        <v>0</v>
      </c>
      <c r="FL92" s="325">
        <f t="shared" si="321"/>
        <v>0</v>
      </c>
      <c r="FM92" s="325">
        <f t="shared" si="321"/>
        <v>0</v>
      </c>
      <c r="FN92" s="325">
        <f t="shared" si="321"/>
        <v>0</v>
      </c>
      <c r="FO92" s="325">
        <f t="shared" si="321"/>
        <v>0</v>
      </c>
      <c r="FP92" s="325">
        <f t="shared" si="321"/>
        <v>0</v>
      </c>
      <c r="FQ92" s="325">
        <f t="shared" si="321"/>
        <v>0</v>
      </c>
      <c r="FR92" s="309">
        <f t="shared" si="197"/>
        <v>0</v>
      </c>
      <c r="FS92" s="260" t="e">
        <f t="shared" si="198"/>
        <v>#DIV/0!</v>
      </c>
      <c r="FX92" s="351"/>
      <c r="FY92" s="351"/>
      <c r="FZ92" s="351"/>
      <c r="GA92" s="351"/>
      <c r="GB92" s="351"/>
      <c r="GC92" s="351"/>
      <c r="GD92" s="351"/>
      <c r="GE92" s="351"/>
      <c r="GF92" s="351"/>
      <c r="GG92" s="351"/>
      <c r="GH92" s="351"/>
      <c r="GJ92" s="262"/>
      <c r="HD92" s="65" t="s">
        <v>561</v>
      </c>
      <c r="HE92" s="67">
        <v>0</v>
      </c>
      <c r="HF92" s="74"/>
      <c r="HG92" s="75"/>
      <c r="HH92" s="76"/>
      <c r="HI92" s="51"/>
    </row>
    <row r="93" spans="39:247" ht="14.4" customHeight="1" x14ac:dyDescent="0.3">
      <c r="AM93" s="412">
        <f t="shared" si="270"/>
        <v>0</v>
      </c>
      <c r="AN93" s="412">
        <f t="shared" si="271"/>
        <v>0</v>
      </c>
      <c r="AO93" s="412">
        <f t="shared" si="272"/>
        <v>0</v>
      </c>
      <c r="AP93" s="412">
        <f t="shared" si="273"/>
        <v>0</v>
      </c>
      <c r="AQ93" s="413" t="s">
        <v>837</v>
      </c>
      <c r="AR93" s="297">
        <f t="shared" si="274"/>
        <v>0</v>
      </c>
      <c r="AS93" s="414" t="e">
        <f t="shared" si="267"/>
        <v>#DIV/0!</v>
      </c>
      <c r="AT93" s="529"/>
      <c r="AU93" s="529"/>
      <c r="AV93" s="299">
        <v>0</v>
      </c>
      <c r="AW93" s="300">
        <v>0</v>
      </c>
      <c r="AX93" s="301"/>
      <c r="BH93" s="529"/>
      <c r="BI93" s="529"/>
      <c r="BJ93" s="414" t="e">
        <f>$AS$90</f>
        <v>#DIV/0!</v>
      </c>
      <c r="BK93" s="242" t="str">
        <f t="shared" si="277"/>
        <v>C35</v>
      </c>
      <c r="BL93" s="433">
        <f>Tabla24[[#This Row],[Columna3]]/7</f>
        <v>0</v>
      </c>
      <c r="BM93" s="433">
        <f>Tabla24[[#This Row],[Columna4]]/4.2</f>
        <v>0</v>
      </c>
      <c r="BN93" s="433">
        <f t="shared" si="278"/>
        <v>0</v>
      </c>
      <c r="BO93" s="433">
        <f t="shared" si="279"/>
        <v>0</v>
      </c>
      <c r="BP93" s="433">
        <f t="shared" si="280"/>
        <v>0</v>
      </c>
      <c r="BQ93" s="433">
        <f t="shared" si="281"/>
        <v>0</v>
      </c>
      <c r="BR93" s="433">
        <f t="shared" si="282"/>
        <v>0</v>
      </c>
      <c r="BS93" s="433">
        <f t="shared" si="283"/>
        <v>0</v>
      </c>
      <c r="BT93" s="433">
        <f t="shared" si="284"/>
        <v>0</v>
      </c>
      <c r="BU93" s="433">
        <f t="shared" si="285"/>
        <v>0</v>
      </c>
      <c r="BV93" s="433">
        <f t="shared" si="286"/>
        <v>0</v>
      </c>
      <c r="BW93" s="433">
        <f t="shared" si="287"/>
        <v>0</v>
      </c>
      <c r="BX93" s="433">
        <f t="shared" si="288"/>
        <v>0</v>
      </c>
      <c r="BY93" s="433">
        <f t="shared" si="289"/>
        <v>0</v>
      </c>
      <c r="BZ93" s="433">
        <f t="shared" si="290"/>
        <v>0</v>
      </c>
      <c r="CB93" s="529"/>
      <c r="CC93" s="529"/>
      <c r="CD93" s="414" t="e">
        <f>$AS$90</f>
        <v>#DIV/0!</v>
      </c>
      <c r="CE93" s="242" t="str">
        <f>Tabla24[[#This Row],[Columna1]]</f>
        <v>C35</v>
      </c>
      <c r="CF93" s="433">
        <f>Tabla2410[[#This Row],[Columna3]]/7</f>
        <v>0</v>
      </c>
      <c r="CG93" s="433">
        <f>Tabla2410[[#This Row],[Columna4]]/4.2</f>
        <v>0</v>
      </c>
      <c r="CH93" s="433">
        <f>Tabla24[[#This Row],[Columna16]]</f>
        <v>0</v>
      </c>
      <c r="CI93" s="433" t="e">
        <f>(Tabla2410[[#This Row],[Columna4]]*CI$56/$BZ$56)*$CH$55</f>
        <v>#DIV/0!</v>
      </c>
      <c r="CJ93" s="433" t="e">
        <f>(Tabla2410[[#This Row],[Columna4]]*CJ$56/$BZ$56)*$CH$55</f>
        <v>#DIV/0!</v>
      </c>
      <c r="CK93" s="433" t="e">
        <f>(Tabla2410[[#This Row],[Columna4]]*CK$56/$BZ$56)*$CH$55</f>
        <v>#DIV/0!</v>
      </c>
      <c r="CL93" s="433" t="e">
        <f>(Tabla2410[[#This Row],[Columna4]]*CL$56/$BZ$56)*$CH$55</f>
        <v>#DIV/0!</v>
      </c>
      <c r="CM93" s="433" t="e">
        <f>(Tabla2410[[#This Row],[Columna4]]*CM$56/$BZ$56)*$CH$55</f>
        <v>#DIV/0!</v>
      </c>
      <c r="CN93" s="433" t="e">
        <f>(Tabla2410[[#This Row],[Columna4]]*CN$56/$BZ$56)*$CH$55</f>
        <v>#DIV/0!</v>
      </c>
      <c r="CO93" s="433" t="e">
        <f>(Tabla2410[[#This Row],[Columna4]]*CO$56/$BZ$56)*$CH$55</f>
        <v>#DIV/0!</v>
      </c>
      <c r="CP93" s="433" t="e">
        <f>(Tabla2410[[#This Row],[Columna4]]*CP$56/$BZ$56)*$CH$55</f>
        <v>#DIV/0!</v>
      </c>
      <c r="CQ93" s="433" t="e">
        <f>(Tabla2410[[#This Row],[Columna4]]*CQ$56/$BZ$56)*$CH$55</f>
        <v>#DIV/0!</v>
      </c>
      <c r="CR93" s="433" t="e">
        <f>(Tabla2410[[#This Row],[Columna4]]*CR$56/$BZ$56)*$CH$55</f>
        <v>#DIV/0!</v>
      </c>
      <c r="CS93" s="433" t="e">
        <f>(Tabla2410[[#This Row],[Columna4]]*CS$56/$BZ$56)*$CH$55</f>
        <v>#DIV/0!</v>
      </c>
      <c r="CT93" s="433" t="e">
        <f>(Tabla2410[[#This Row],[Columna4]]*CT$56/$BZ$56)*$CH$55</f>
        <v>#DIV/0!</v>
      </c>
      <c r="CV93" s="529"/>
      <c r="CW93" s="529"/>
      <c r="CX93" s="414" t="e">
        <f>$AS$90</f>
        <v>#DIV/0!</v>
      </c>
      <c r="CY93" s="242" t="str">
        <f>Tabla24[[#This Row],[Columna1]]</f>
        <v>C35</v>
      </c>
      <c r="CZ93" s="433" t="e">
        <f>Tabla24105[[#This Row],[Columna3]]/7</f>
        <v>#DIV/0!</v>
      </c>
      <c r="DA93" s="433" t="e">
        <f>Tabla24105[[#This Row],[Columna4]]/4.2</f>
        <v>#DIV/0!</v>
      </c>
      <c r="DB93" s="433" t="e">
        <f>Tabla2410[[#This Row],[Columna16]]</f>
        <v>#DIV/0!</v>
      </c>
      <c r="DC93" s="433" t="e">
        <f>(Tabla24105[[#This Row],[Columna4]]*DC$56/$CT$56)*$DB$55</f>
        <v>#DIV/0!</v>
      </c>
      <c r="DD93" s="433" t="e">
        <f>(Tabla24105[[#This Row],[Columna4]]*DD$56/$CT$56)*$DB$55</f>
        <v>#DIV/0!</v>
      </c>
      <c r="DE93" s="433" t="e">
        <f>(Tabla24105[[#This Row],[Columna4]]*DE$56/$CT$56)*$DB$55</f>
        <v>#DIV/0!</v>
      </c>
      <c r="DF93" s="433" t="e">
        <f>(Tabla24105[[#This Row],[Columna4]]*DF$56/$CT$56)*$DB$55</f>
        <v>#DIV/0!</v>
      </c>
      <c r="DG93" s="433" t="e">
        <f>(Tabla24105[[#This Row],[Columna4]]*DG$56/$CT$56)*$DB$55</f>
        <v>#DIV/0!</v>
      </c>
      <c r="DH93" s="433" t="e">
        <f>(Tabla24105[[#This Row],[Columna4]]*DH$56/$CT$56)*$DB$55</f>
        <v>#DIV/0!</v>
      </c>
      <c r="DI93" s="433" t="e">
        <f>(Tabla24105[[#This Row],[Columna4]]*DI$56/$CT$56)*$DB$55</f>
        <v>#DIV/0!</v>
      </c>
      <c r="DJ93" s="433" t="e">
        <f>(Tabla24105[[#This Row],[Columna4]]*DJ$56/$CT$56)*$DB$55</f>
        <v>#DIV/0!</v>
      </c>
      <c r="DK93" s="433" t="e">
        <f>(Tabla24105[[#This Row],[Columna4]]*DK$56/$CT$56)*$DB$55</f>
        <v>#DIV/0!</v>
      </c>
      <c r="DL93" s="433" t="e">
        <f>(Tabla24105[[#This Row],[Columna4]]*DL$56/$CT$56)*$DB$55</f>
        <v>#DIV/0!</v>
      </c>
      <c r="DM93" s="433" t="e">
        <f>(Tabla24105[[#This Row],[Columna4]]*DM$56/$CT$56)*$DB$55</f>
        <v>#DIV/0!</v>
      </c>
      <c r="DN93" s="433" t="e">
        <f>(Tabla24105[[#This Row],[Columna4]]*DN$56/$CT$56)*$DB$55</f>
        <v>#DIV/0!</v>
      </c>
      <c r="DP93" s="529"/>
      <c r="DQ93" s="529"/>
      <c r="DR93" s="414" t="e">
        <f>$AS$90</f>
        <v>#DIV/0!</v>
      </c>
      <c r="DS93" s="242" t="str">
        <f>Tabla24[[#This Row],[Columna1]]</f>
        <v>C35</v>
      </c>
      <c r="DT93" s="433" t="e">
        <f>Tabla241057[[#This Row],[Columna3]]/7</f>
        <v>#DIV/0!</v>
      </c>
      <c r="DU93" s="433" t="e">
        <f>Tabla241057[[#This Row],[Columna4]]/4.2</f>
        <v>#DIV/0!</v>
      </c>
      <c r="DV93" s="433" t="e">
        <f>Tabla24105[[#This Row],[Columna16]]</f>
        <v>#DIV/0!</v>
      </c>
      <c r="DW93" s="433" t="e">
        <f>(Tabla241057[[#This Row],[Columna4]]*DW$56/$DN$56)*$DV$55</f>
        <v>#DIV/0!</v>
      </c>
      <c r="DX93" s="433" t="e">
        <f>(Tabla241057[[#This Row],[Columna4]]*DX$56/$DN$56)*$DV$55</f>
        <v>#DIV/0!</v>
      </c>
      <c r="DY93" s="433" t="e">
        <f>(Tabla241057[[#This Row],[Columna4]]*DY$56/$DN$56)*$DV$55</f>
        <v>#DIV/0!</v>
      </c>
      <c r="DZ93" s="433" t="e">
        <f>(Tabla241057[[#This Row],[Columna4]]*DZ$56/$DN$56)*$DV$55</f>
        <v>#DIV/0!</v>
      </c>
      <c r="EA93" s="433" t="e">
        <f>(Tabla241057[[#This Row],[Columna4]]*EA$56/$DN$56)*$DV$55</f>
        <v>#DIV/0!</v>
      </c>
      <c r="EB93" s="433" t="e">
        <f>(Tabla241057[[#This Row],[Columna4]]*EB$56/$DN$56)*$DV$55</f>
        <v>#DIV/0!</v>
      </c>
      <c r="EC93" s="433" t="e">
        <f>(Tabla241057[[#This Row],[Columna4]]*EC$56/$DN$56)*$DV$55</f>
        <v>#DIV/0!</v>
      </c>
      <c r="ED93" s="433" t="e">
        <f>(Tabla241057[[#This Row],[Columna4]]*ED$56/$DN$56)*$DV$55</f>
        <v>#DIV/0!</v>
      </c>
      <c r="EE93" s="433" t="e">
        <f>(Tabla241057[[#This Row],[Columna4]]*EE$56/$DN$56)*$DV$55</f>
        <v>#DIV/0!</v>
      </c>
      <c r="EF93" s="433" t="e">
        <f>(Tabla241057[[#This Row],[Columna4]]*EF$56/$DN$56)*$DV$55</f>
        <v>#DIV/0!</v>
      </c>
      <c r="EG93" s="433" t="e">
        <f>(Tabla241057[[#This Row],[Columna4]]*EG$56/$DN$56)*$DV$55</f>
        <v>#DIV/0!</v>
      </c>
      <c r="EH93" s="433" t="e">
        <f>(Tabla241057[[#This Row],[Columna4]]*EH$56/$DN$56)*$DV$55</f>
        <v>#DIV/0!</v>
      </c>
      <c r="EJ93" s="529"/>
      <c r="EK93" s="529"/>
      <c r="EL93" s="414" t="e">
        <f>$AS$90</f>
        <v>#DIV/0!</v>
      </c>
      <c r="EM93" s="242" t="str">
        <f>Tabla24[[#This Row],[Columna1]]</f>
        <v>C35</v>
      </c>
      <c r="EN93" s="433" t="e">
        <f>Tabla24105711[[#This Row],[Columna3]]/7</f>
        <v>#DIV/0!</v>
      </c>
      <c r="EO93" s="433" t="e">
        <f>Tabla24105711[[#This Row],[Columna4]]/4.2</f>
        <v>#DIV/0!</v>
      </c>
      <c r="EP93" s="433" t="e">
        <f>Tabla241057[[#This Row],[Columna16]]</f>
        <v>#DIV/0!</v>
      </c>
      <c r="EQ93" s="433" t="e">
        <f>(Tabla24105711[[#This Row],[Columna4]]*EQ$56/$EH$56)*$EP$55</f>
        <v>#DIV/0!</v>
      </c>
      <c r="ER93" s="433" t="e">
        <f>(Tabla24105711[[#This Row],[Columna4]]*ER$56/$EH$56)*$EP$55</f>
        <v>#DIV/0!</v>
      </c>
      <c r="ES93" s="433" t="e">
        <f>(Tabla24105711[[#This Row],[Columna4]]*ES$56/$EH$56)*$EP$55</f>
        <v>#DIV/0!</v>
      </c>
      <c r="ET93" s="433" t="e">
        <f>(Tabla24105711[[#This Row],[Columna4]]*ET$56/$EH$56)*$EP$55</f>
        <v>#DIV/0!</v>
      </c>
      <c r="EU93" s="433" t="e">
        <f>(Tabla24105711[[#This Row],[Columna4]]*EU$56/$EH$56)*$EP$55</f>
        <v>#DIV/0!</v>
      </c>
      <c r="EV93" s="433" t="e">
        <f>(Tabla24105711[[#This Row],[Columna4]]*EV$56/$EH$56)*$EP$55</f>
        <v>#DIV/0!</v>
      </c>
      <c r="EW93" s="433" t="e">
        <f>(Tabla24105711[[#This Row],[Columna4]]*EW$56/$EH$56)*$EP$55</f>
        <v>#DIV/0!</v>
      </c>
      <c r="EX93" s="433" t="e">
        <f>(Tabla24105711[[#This Row],[Columna4]]*EX$56/$EH$56)*$EP$55</f>
        <v>#DIV/0!</v>
      </c>
      <c r="EY93" s="433" t="e">
        <f>(Tabla24105711[[#This Row],[Columna4]]*EY$56/$EH$56)*$EP$55</f>
        <v>#DIV/0!</v>
      </c>
      <c r="EZ93" s="433" t="e">
        <f>(Tabla24105711[[#This Row],[Columna4]]*EZ$56/$EH$56)*$EP$55</f>
        <v>#DIV/0!</v>
      </c>
      <c r="FA93" s="433" t="e">
        <f>(Tabla24105711[[#This Row],[Columna4]]*FA$56/$EH$56)*$EP$55</f>
        <v>#DIV/0!</v>
      </c>
      <c r="FB93" s="433" t="e">
        <f>(Tabla24105711[[#This Row],[Columna4]]*FB$56/$EH$56)*$EP$55</f>
        <v>#DIV/0!</v>
      </c>
      <c r="FD93" s="397" t="s">
        <v>140</v>
      </c>
      <c r="FE93" s="399" t="s">
        <v>137</v>
      </c>
      <c r="FF93" s="400">
        <f t="shared" ref="FF93:FQ97" si="322">+FF268/FF$376</f>
        <v>0</v>
      </c>
      <c r="FG93" s="400">
        <f t="shared" si="322"/>
        <v>0</v>
      </c>
      <c r="FH93" s="400">
        <f t="shared" si="322"/>
        <v>0</v>
      </c>
      <c r="FI93" s="400">
        <f t="shared" si="322"/>
        <v>0</v>
      </c>
      <c r="FJ93" s="400">
        <f t="shared" si="322"/>
        <v>0</v>
      </c>
      <c r="FK93" s="400">
        <f t="shared" si="322"/>
        <v>0</v>
      </c>
      <c r="FL93" s="400">
        <f t="shared" si="322"/>
        <v>0</v>
      </c>
      <c r="FM93" s="400">
        <f t="shared" si="322"/>
        <v>0</v>
      </c>
      <c r="FN93" s="400">
        <f t="shared" si="322"/>
        <v>0</v>
      </c>
      <c r="FO93" s="400">
        <f t="shared" si="322"/>
        <v>0</v>
      </c>
      <c r="FP93" s="400">
        <f t="shared" si="322"/>
        <v>0</v>
      </c>
      <c r="FQ93" s="400">
        <f t="shared" si="322"/>
        <v>0</v>
      </c>
      <c r="FR93" s="363">
        <f t="shared" si="197"/>
        <v>0</v>
      </c>
      <c r="FS93" s="260" t="e">
        <f t="shared" si="198"/>
        <v>#DIV/0!</v>
      </c>
      <c r="FX93" s="351"/>
      <c r="FY93" s="351"/>
      <c r="FZ93" s="351"/>
      <c r="GA93" s="351"/>
      <c r="GB93" s="351"/>
      <c r="GC93" s="351"/>
      <c r="GD93" s="351"/>
      <c r="GE93" s="351"/>
      <c r="GF93" s="351"/>
      <c r="GG93" s="351"/>
      <c r="GH93" s="351"/>
      <c r="GJ93" s="262"/>
      <c r="HD93" s="65" t="s">
        <v>562</v>
      </c>
      <c r="HE93" s="67">
        <v>0</v>
      </c>
      <c r="HF93" s="77"/>
      <c r="HG93" s="78"/>
      <c r="HH93" s="79"/>
      <c r="HI93" s="51"/>
    </row>
    <row r="94" spans="39:247" ht="14.4" customHeight="1" x14ac:dyDescent="0.3">
      <c r="AM94" s="412">
        <f t="shared" si="270"/>
        <v>0</v>
      </c>
      <c r="AN94" s="412">
        <f t="shared" si="271"/>
        <v>0</v>
      </c>
      <c r="AO94" s="412">
        <f t="shared" si="272"/>
        <v>0</v>
      </c>
      <c r="AP94" s="412">
        <f t="shared" si="273"/>
        <v>0</v>
      </c>
      <c r="AQ94" s="413" t="s">
        <v>839</v>
      </c>
      <c r="AR94" s="297">
        <f t="shared" si="274"/>
        <v>0</v>
      </c>
      <c r="AS94" s="414" t="e">
        <f t="shared" si="267"/>
        <v>#DIV/0!</v>
      </c>
      <c r="AT94" s="529"/>
      <c r="AU94" s="529"/>
      <c r="AV94" s="299">
        <v>0</v>
      </c>
      <c r="AW94" s="300">
        <v>0</v>
      </c>
      <c r="AX94" s="301"/>
      <c r="BH94" s="529"/>
      <c r="BI94" s="529"/>
      <c r="BJ94" s="414" t="e">
        <f>$AS$91</f>
        <v>#DIV/0!</v>
      </c>
      <c r="BK94" s="242" t="str">
        <f t="shared" si="277"/>
        <v>C36</v>
      </c>
      <c r="BL94" s="433">
        <f>Tabla24[[#This Row],[Columna3]]/7</f>
        <v>0</v>
      </c>
      <c r="BM94" s="433">
        <f>Tabla24[[#This Row],[Columna4]]/4.2</f>
        <v>0</v>
      </c>
      <c r="BN94" s="433">
        <f t="shared" si="278"/>
        <v>0</v>
      </c>
      <c r="BO94" s="433">
        <f t="shared" si="279"/>
        <v>0</v>
      </c>
      <c r="BP94" s="433">
        <f t="shared" si="280"/>
        <v>0</v>
      </c>
      <c r="BQ94" s="433">
        <f t="shared" si="281"/>
        <v>0</v>
      </c>
      <c r="BR94" s="433">
        <f t="shared" si="282"/>
        <v>0</v>
      </c>
      <c r="BS94" s="433">
        <f t="shared" si="283"/>
        <v>0</v>
      </c>
      <c r="BT94" s="433">
        <f t="shared" si="284"/>
        <v>0</v>
      </c>
      <c r="BU94" s="433">
        <f t="shared" si="285"/>
        <v>0</v>
      </c>
      <c r="BV94" s="433">
        <f t="shared" si="286"/>
        <v>0</v>
      </c>
      <c r="BW94" s="433">
        <f t="shared" si="287"/>
        <v>0</v>
      </c>
      <c r="BX94" s="433">
        <f t="shared" si="288"/>
        <v>0</v>
      </c>
      <c r="BY94" s="433">
        <f t="shared" si="289"/>
        <v>0</v>
      </c>
      <c r="BZ94" s="433">
        <f t="shared" si="290"/>
        <v>0</v>
      </c>
      <c r="CB94" s="529"/>
      <c r="CC94" s="529"/>
      <c r="CD94" s="414" t="e">
        <f>$AS$91</f>
        <v>#DIV/0!</v>
      </c>
      <c r="CE94" s="242" t="str">
        <f>Tabla24[[#This Row],[Columna1]]</f>
        <v>C36</v>
      </c>
      <c r="CF94" s="433">
        <f>Tabla2410[[#This Row],[Columna3]]/7</f>
        <v>0</v>
      </c>
      <c r="CG94" s="433">
        <f>Tabla2410[[#This Row],[Columna4]]/4.2</f>
        <v>0</v>
      </c>
      <c r="CH94" s="433">
        <f>Tabla24[[#This Row],[Columna16]]</f>
        <v>0</v>
      </c>
      <c r="CI94" s="433" t="e">
        <f>(Tabla2410[[#This Row],[Columna4]]*CI$56/$BZ$56)*$CH$55</f>
        <v>#DIV/0!</v>
      </c>
      <c r="CJ94" s="433" t="e">
        <f>(Tabla2410[[#This Row],[Columna4]]*CJ$56/$BZ$56)*$CH$55</f>
        <v>#DIV/0!</v>
      </c>
      <c r="CK94" s="433" t="e">
        <f>(Tabla2410[[#This Row],[Columna4]]*CK$56/$BZ$56)*$CH$55</f>
        <v>#DIV/0!</v>
      </c>
      <c r="CL94" s="433" t="e">
        <f>(Tabla2410[[#This Row],[Columna4]]*CL$56/$BZ$56)*$CH$55</f>
        <v>#DIV/0!</v>
      </c>
      <c r="CM94" s="433" t="e">
        <f>(Tabla2410[[#This Row],[Columna4]]*CM$56/$BZ$56)*$CH$55</f>
        <v>#DIV/0!</v>
      </c>
      <c r="CN94" s="433" t="e">
        <f>(Tabla2410[[#This Row],[Columna4]]*CN$56/$BZ$56)*$CH$55</f>
        <v>#DIV/0!</v>
      </c>
      <c r="CO94" s="433" t="e">
        <f>(Tabla2410[[#This Row],[Columna4]]*CO$56/$BZ$56)*$CH$55</f>
        <v>#DIV/0!</v>
      </c>
      <c r="CP94" s="433" t="e">
        <f>(Tabla2410[[#This Row],[Columna4]]*CP$56/$BZ$56)*$CH$55</f>
        <v>#DIV/0!</v>
      </c>
      <c r="CQ94" s="433" t="e">
        <f>(Tabla2410[[#This Row],[Columna4]]*CQ$56/$BZ$56)*$CH$55</f>
        <v>#DIV/0!</v>
      </c>
      <c r="CR94" s="433" t="e">
        <f>(Tabla2410[[#This Row],[Columna4]]*CR$56/$BZ$56)*$CH$55</f>
        <v>#DIV/0!</v>
      </c>
      <c r="CS94" s="433" t="e">
        <f>(Tabla2410[[#This Row],[Columna4]]*CS$56/$BZ$56)*$CH$55</f>
        <v>#DIV/0!</v>
      </c>
      <c r="CT94" s="433" t="e">
        <f>(Tabla2410[[#This Row],[Columna4]]*CT$56/$BZ$56)*$CH$55</f>
        <v>#DIV/0!</v>
      </c>
      <c r="CV94" s="529"/>
      <c r="CW94" s="529"/>
      <c r="CX94" s="414" t="e">
        <f>$AS$91</f>
        <v>#DIV/0!</v>
      </c>
      <c r="CY94" s="242" t="str">
        <f>Tabla24[[#This Row],[Columna1]]</f>
        <v>C36</v>
      </c>
      <c r="CZ94" s="433" t="e">
        <f>Tabla24105[[#This Row],[Columna3]]/7</f>
        <v>#DIV/0!</v>
      </c>
      <c r="DA94" s="433" t="e">
        <f>Tabla24105[[#This Row],[Columna4]]/4.2</f>
        <v>#DIV/0!</v>
      </c>
      <c r="DB94" s="433" t="e">
        <f>Tabla2410[[#This Row],[Columna16]]</f>
        <v>#DIV/0!</v>
      </c>
      <c r="DC94" s="433" t="e">
        <f>(Tabla24105[[#This Row],[Columna4]]*DC$56/$CT$56)*$DB$55</f>
        <v>#DIV/0!</v>
      </c>
      <c r="DD94" s="433" t="e">
        <f>(Tabla24105[[#This Row],[Columna4]]*DD$56/$CT$56)*$DB$55</f>
        <v>#DIV/0!</v>
      </c>
      <c r="DE94" s="433" t="e">
        <f>(Tabla24105[[#This Row],[Columna4]]*DE$56/$CT$56)*$DB$55</f>
        <v>#DIV/0!</v>
      </c>
      <c r="DF94" s="433" t="e">
        <f>(Tabla24105[[#This Row],[Columna4]]*DF$56/$CT$56)*$DB$55</f>
        <v>#DIV/0!</v>
      </c>
      <c r="DG94" s="433" t="e">
        <f>(Tabla24105[[#This Row],[Columna4]]*DG$56/$CT$56)*$DB$55</f>
        <v>#DIV/0!</v>
      </c>
      <c r="DH94" s="433" t="e">
        <f>(Tabla24105[[#This Row],[Columna4]]*DH$56/$CT$56)*$DB$55</f>
        <v>#DIV/0!</v>
      </c>
      <c r="DI94" s="433" t="e">
        <f>(Tabla24105[[#This Row],[Columna4]]*DI$56/$CT$56)*$DB$55</f>
        <v>#DIV/0!</v>
      </c>
      <c r="DJ94" s="433" t="e">
        <f>(Tabla24105[[#This Row],[Columna4]]*DJ$56/$CT$56)*$DB$55</f>
        <v>#DIV/0!</v>
      </c>
      <c r="DK94" s="433" t="e">
        <f>(Tabla24105[[#This Row],[Columna4]]*DK$56/$CT$56)*$DB$55</f>
        <v>#DIV/0!</v>
      </c>
      <c r="DL94" s="433" t="e">
        <f>(Tabla24105[[#This Row],[Columna4]]*DL$56/$CT$56)*$DB$55</f>
        <v>#DIV/0!</v>
      </c>
      <c r="DM94" s="433" t="e">
        <f>(Tabla24105[[#This Row],[Columna4]]*DM$56/$CT$56)*$DB$55</f>
        <v>#DIV/0!</v>
      </c>
      <c r="DN94" s="433" t="e">
        <f>(Tabla24105[[#This Row],[Columna4]]*DN$56/$CT$56)*$DB$55</f>
        <v>#DIV/0!</v>
      </c>
      <c r="DP94" s="529"/>
      <c r="DQ94" s="529"/>
      <c r="DR94" s="414" t="e">
        <f>$AS$91</f>
        <v>#DIV/0!</v>
      </c>
      <c r="DS94" s="242" t="str">
        <f>Tabla24[[#This Row],[Columna1]]</f>
        <v>C36</v>
      </c>
      <c r="DT94" s="433" t="e">
        <f>Tabla241057[[#This Row],[Columna3]]/7</f>
        <v>#DIV/0!</v>
      </c>
      <c r="DU94" s="433" t="e">
        <f>Tabla241057[[#This Row],[Columna4]]/4.2</f>
        <v>#DIV/0!</v>
      </c>
      <c r="DV94" s="433" t="e">
        <f>Tabla24105[[#This Row],[Columna16]]</f>
        <v>#DIV/0!</v>
      </c>
      <c r="DW94" s="433" t="e">
        <f>(Tabla241057[[#This Row],[Columna4]]*DW$56/$DN$56)*$DV$55</f>
        <v>#DIV/0!</v>
      </c>
      <c r="DX94" s="433" t="e">
        <f>(Tabla241057[[#This Row],[Columna4]]*DX$56/$DN$56)*$DV$55</f>
        <v>#DIV/0!</v>
      </c>
      <c r="DY94" s="433" t="e">
        <f>(Tabla241057[[#This Row],[Columna4]]*DY$56/$DN$56)*$DV$55</f>
        <v>#DIV/0!</v>
      </c>
      <c r="DZ94" s="433" t="e">
        <f>(Tabla241057[[#This Row],[Columna4]]*DZ$56/$DN$56)*$DV$55</f>
        <v>#DIV/0!</v>
      </c>
      <c r="EA94" s="433" t="e">
        <f>(Tabla241057[[#This Row],[Columna4]]*EA$56/$DN$56)*$DV$55</f>
        <v>#DIV/0!</v>
      </c>
      <c r="EB94" s="433" t="e">
        <f>(Tabla241057[[#This Row],[Columna4]]*EB$56/$DN$56)*$DV$55</f>
        <v>#DIV/0!</v>
      </c>
      <c r="EC94" s="433" t="e">
        <f>(Tabla241057[[#This Row],[Columna4]]*EC$56/$DN$56)*$DV$55</f>
        <v>#DIV/0!</v>
      </c>
      <c r="ED94" s="433" t="e">
        <f>(Tabla241057[[#This Row],[Columna4]]*ED$56/$DN$56)*$DV$55</f>
        <v>#DIV/0!</v>
      </c>
      <c r="EE94" s="433" t="e">
        <f>(Tabla241057[[#This Row],[Columna4]]*EE$56/$DN$56)*$DV$55</f>
        <v>#DIV/0!</v>
      </c>
      <c r="EF94" s="433" t="e">
        <f>(Tabla241057[[#This Row],[Columna4]]*EF$56/$DN$56)*$DV$55</f>
        <v>#DIV/0!</v>
      </c>
      <c r="EG94" s="433" t="e">
        <f>(Tabla241057[[#This Row],[Columna4]]*EG$56/$DN$56)*$DV$55</f>
        <v>#DIV/0!</v>
      </c>
      <c r="EH94" s="433" t="e">
        <f>(Tabla241057[[#This Row],[Columna4]]*EH$56/$DN$56)*$DV$55</f>
        <v>#DIV/0!</v>
      </c>
      <c r="EJ94" s="529"/>
      <c r="EK94" s="529"/>
      <c r="EL94" s="414" t="e">
        <f>$AS$91</f>
        <v>#DIV/0!</v>
      </c>
      <c r="EM94" s="242" t="str">
        <f>Tabla24[[#This Row],[Columna1]]</f>
        <v>C36</v>
      </c>
      <c r="EN94" s="433" t="e">
        <f>Tabla24105711[[#This Row],[Columna3]]/7</f>
        <v>#DIV/0!</v>
      </c>
      <c r="EO94" s="433" t="e">
        <f>Tabla24105711[[#This Row],[Columna4]]/4.2</f>
        <v>#DIV/0!</v>
      </c>
      <c r="EP94" s="433" t="e">
        <f>Tabla241057[[#This Row],[Columna16]]</f>
        <v>#DIV/0!</v>
      </c>
      <c r="EQ94" s="433" t="e">
        <f>(Tabla24105711[[#This Row],[Columna4]]*EQ$56/$EH$56)*$EP$55</f>
        <v>#DIV/0!</v>
      </c>
      <c r="ER94" s="433" t="e">
        <f>(Tabla24105711[[#This Row],[Columna4]]*ER$56/$EH$56)*$EP$55</f>
        <v>#DIV/0!</v>
      </c>
      <c r="ES94" s="433" t="e">
        <f>(Tabla24105711[[#This Row],[Columna4]]*ES$56/$EH$56)*$EP$55</f>
        <v>#DIV/0!</v>
      </c>
      <c r="ET94" s="433" t="e">
        <f>(Tabla24105711[[#This Row],[Columna4]]*ET$56/$EH$56)*$EP$55</f>
        <v>#DIV/0!</v>
      </c>
      <c r="EU94" s="433" t="e">
        <f>(Tabla24105711[[#This Row],[Columna4]]*EU$56/$EH$56)*$EP$55</f>
        <v>#DIV/0!</v>
      </c>
      <c r="EV94" s="433" t="e">
        <f>(Tabla24105711[[#This Row],[Columna4]]*EV$56/$EH$56)*$EP$55</f>
        <v>#DIV/0!</v>
      </c>
      <c r="EW94" s="433" t="e">
        <f>(Tabla24105711[[#This Row],[Columna4]]*EW$56/$EH$56)*$EP$55</f>
        <v>#DIV/0!</v>
      </c>
      <c r="EX94" s="433" t="e">
        <f>(Tabla24105711[[#This Row],[Columna4]]*EX$56/$EH$56)*$EP$55</f>
        <v>#DIV/0!</v>
      </c>
      <c r="EY94" s="433" t="e">
        <f>(Tabla24105711[[#This Row],[Columna4]]*EY$56/$EH$56)*$EP$55</f>
        <v>#DIV/0!</v>
      </c>
      <c r="EZ94" s="433" t="e">
        <f>(Tabla24105711[[#This Row],[Columna4]]*EZ$56/$EH$56)*$EP$55</f>
        <v>#DIV/0!</v>
      </c>
      <c r="FA94" s="433" t="e">
        <f>(Tabla24105711[[#This Row],[Columna4]]*FA$56/$EH$56)*$EP$55</f>
        <v>#DIV/0!</v>
      </c>
      <c r="FB94" s="433" t="e">
        <f>(Tabla24105711[[#This Row],[Columna4]]*FB$56/$EH$56)*$EP$55</f>
        <v>#DIV/0!</v>
      </c>
      <c r="FD94" s="397" t="s">
        <v>142</v>
      </c>
      <c r="FE94" s="399" t="s">
        <v>139</v>
      </c>
      <c r="FF94" s="400">
        <f t="shared" si="322"/>
        <v>0</v>
      </c>
      <c r="FG94" s="400">
        <f t="shared" si="322"/>
        <v>0</v>
      </c>
      <c r="FH94" s="400">
        <f t="shared" si="322"/>
        <v>0</v>
      </c>
      <c r="FI94" s="400">
        <f t="shared" si="322"/>
        <v>0</v>
      </c>
      <c r="FJ94" s="400">
        <f t="shared" si="322"/>
        <v>0</v>
      </c>
      <c r="FK94" s="400">
        <f t="shared" si="322"/>
        <v>0</v>
      </c>
      <c r="FL94" s="400">
        <f t="shared" si="322"/>
        <v>0</v>
      </c>
      <c r="FM94" s="400">
        <f t="shared" si="322"/>
        <v>0</v>
      </c>
      <c r="FN94" s="400">
        <f t="shared" si="322"/>
        <v>0</v>
      </c>
      <c r="FO94" s="400">
        <f t="shared" si="322"/>
        <v>0</v>
      </c>
      <c r="FP94" s="400">
        <f t="shared" si="322"/>
        <v>0</v>
      </c>
      <c r="FQ94" s="400">
        <f t="shared" si="322"/>
        <v>0</v>
      </c>
      <c r="FR94" s="363">
        <f t="shared" si="197"/>
        <v>0</v>
      </c>
      <c r="FS94" s="260" t="e">
        <f t="shared" si="198"/>
        <v>#DIV/0!</v>
      </c>
      <c r="GC94" s="245" t="s">
        <v>434</v>
      </c>
      <c r="GD94" s="246">
        <v>0</v>
      </c>
      <c r="GE94" s="247" t="str">
        <f>IF(GD94=0%,"No Calculado","Ajustado")</f>
        <v>No Calculado</v>
      </c>
      <c r="GF94" s="248"/>
      <c r="GG94" s="245" t="s">
        <v>430</v>
      </c>
      <c r="GH94" s="246">
        <v>0</v>
      </c>
      <c r="GI94" s="247" t="str">
        <f>IF(GH94=0%,"No Calculado","Ajustado")</f>
        <v>No Calculado</v>
      </c>
      <c r="HD94" s="65" t="s">
        <v>563</v>
      </c>
      <c r="HE94" s="67">
        <v>0</v>
      </c>
      <c r="HF94" s="77"/>
      <c r="HG94" s="78"/>
      <c r="HH94" s="79"/>
      <c r="HI94" s="51"/>
    </row>
    <row r="95" spans="39:247" ht="14.4" customHeight="1" x14ac:dyDescent="0.3">
      <c r="AM95" s="412">
        <f t="shared" si="270"/>
        <v>0</v>
      </c>
      <c r="AN95" s="412">
        <f t="shared" si="271"/>
        <v>0</v>
      </c>
      <c r="AO95" s="412">
        <f t="shared" si="272"/>
        <v>0</v>
      </c>
      <c r="AP95" s="412">
        <f t="shared" si="273"/>
        <v>0</v>
      </c>
      <c r="AQ95" s="413" t="s">
        <v>841</v>
      </c>
      <c r="AR95" s="297">
        <f t="shared" si="274"/>
        <v>0</v>
      </c>
      <c r="AS95" s="414" t="e">
        <f t="shared" si="267"/>
        <v>#DIV/0!</v>
      </c>
      <c r="AT95" s="529"/>
      <c r="AU95" s="529"/>
      <c r="AV95" s="299">
        <v>0</v>
      </c>
      <c r="AW95" s="300">
        <v>0</v>
      </c>
      <c r="AX95" s="301"/>
      <c r="BH95" s="529"/>
      <c r="BI95" s="529"/>
      <c r="BJ95" s="414" t="e">
        <f>$AS$92</f>
        <v>#DIV/0!</v>
      </c>
      <c r="BK95" s="242" t="str">
        <f t="shared" si="277"/>
        <v>C37</v>
      </c>
      <c r="BL95" s="433">
        <f>Tabla24[[#This Row],[Columna3]]/7</f>
        <v>0</v>
      </c>
      <c r="BM95" s="433">
        <f>Tabla24[[#This Row],[Columna4]]/4.2</f>
        <v>0</v>
      </c>
      <c r="BN95" s="433">
        <f t="shared" si="278"/>
        <v>0</v>
      </c>
      <c r="BO95" s="433">
        <f t="shared" si="279"/>
        <v>0</v>
      </c>
      <c r="BP95" s="433">
        <f t="shared" si="280"/>
        <v>0</v>
      </c>
      <c r="BQ95" s="433">
        <f t="shared" si="281"/>
        <v>0</v>
      </c>
      <c r="BR95" s="433">
        <f t="shared" si="282"/>
        <v>0</v>
      </c>
      <c r="BS95" s="433">
        <f t="shared" si="283"/>
        <v>0</v>
      </c>
      <c r="BT95" s="433">
        <f t="shared" si="284"/>
        <v>0</v>
      </c>
      <c r="BU95" s="433">
        <f t="shared" si="285"/>
        <v>0</v>
      </c>
      <c r="BV95" s="433">
        <f t="shared" si="286"/>
        <v>0</v>
      </c>
      <c r="BW95" s="433">
        <f t="shared" si="287"/>
        <v>0</v>
      </c>
      <c r="BX95" s="433">
        <f t="shared" si="288"/>
        <v>0</v>
      </c>
      <c r="BY95" s="433">
        <f t="shared" si="289"/>
        <v>0</v>
      </c>
      <c r="BZ95" s="433">
        <f t="shared" si="290"/>
        <v>0</v>
      </c>
      <c r="CB95" s="529"/>
      <c r="CC95" s="529"/>
      <c r="CD95" s="414" t="e">
        <f>$AS$92</f>
        <v>#DIV/0!</v>
      </c>
      <c r="CE95" s="242" t="str">
        <f>Tabla24[[#This Row],[Columna1]]</f>
        <v>C37</v>
      </c>
      <c r="CF95" s="433">
        <f>Tabla2410[[#This Row],[Columna3]]/7</f>
        <v>0</v>
      </c>
      <c r="CG95" s="433">
        <f>Tabla2410[[#This Row],[Columna4]]/4.2</f>
        <v>0</v>
      </c>
      <c r="CH95" s="433">
        <f>Tabla24[[#This Row],[Columna16]]</f>
        <v>0</v>
      </c>
      <c r="CI95" s="433" t="e">
        <f>(Tabla2410[[#This Row],[Columna4]]*CI$56/$BZ$56)*$CH$55</f>
        <v>#DIV/0!</v>
      </c>
      <c r="CJ95" s="433" t="e">
        <f>(Tabla2410[[#This Row],[Columna4]]*CJ$56/$BZ$56)*$CH$55</f>
        <v>#DIV/0!</v>
      </c>
      <c r="CK95" s="433" t="e">
        <f>(Tabla2410[[#This Row],[Columna4]]*CK$56/$BZ$56)*$CH$55</f>
        <v>#DIV/0!</v>
      </c>
      <c r="CL95" s="433" t="e">
        <f>(Tabla2410[[#This Row],[Columna4]]*CL$56/$BZ$56)*$CH$55</f>
        <v>#DIV/0!</v>
      </c>
      <c r="CM95" s="433" t="e">
        <f>(Tabla2410[[#This Row],[Columna4]]*CM$56/$BZ$56)*$CH$55</f>
        <v>#DIV/0!</v>
      </c>
      <c r="CN95" s="433" t="e">
        <f>(Tabla2410[[#This Row],[Columna4]]*CN$56/$BZ$56)*$CH$55</f>
        <v>#DIV/0!</v>
      </c>
      <c r="CO95" s="433" t="e">
        <f>(Tabla2410[[#This Row],[Columna4]]*CO$56/$BZ$56)*$CH$55</f>
        <v>#DIV/0!</v>
      </c>
      <c r="CP95" s="433" t="e">
        <f>(Tabla2410[[#This Row],[Columna4]]*CP$56/$BZ$56)*$CH$55</f>
        <v>#DIV/0!</v>
      </c>
      <c r="CQ95" s="433" t="e">
        <f>(Tabla2410[[#This Row],[Columna4]]*CQ$56/$BZ$56)*$CH$55</f>
        <v>#DIV/0!</v>
      </c>
      <c r="CR95" s="433" t="e">
        <f>(Tabla2410[[#This Row],[Columna4]]*CR$56/$BZ$56)*$CH$55</f>
        <v>#DIV/0!</v>
      </c>
      <c r="CS95" s="433" t="e">
        <f>(Tabla2410[[#This Row],[Columna4]]*CS$56/$BZ$56)*$CH$55</f>
        <v>#DIV/0!</v>
      </c>
      <c r="CT95" s="433" t="e">
        <f>(Tabla2410[[#This Row],[Columna4]]*CT$56/$BZ$56)*$CH$55</f>
        <v>#DIV/0!</v>
      </c>
      <c r="CV95" s="529"/>
      <c r="CW95" s="529"/>
      <c r="CX95" s="414" t="e">
        <f>$AS$92</f>
        <v>#DIV/0!</v>
      </c>
      <c r="CY95" s="242" t="str">
        <f>Tabla24[[#This Row],[Columna1]]</f>
        <v>C37</v>
      </c>
      <c r="CZ95" s="433" t="e">
        <f>Tabla24105[[#This Row],[Columna3]]/7</f>
        <v>#DIV/0!</v>
      </c>
      <c r="DA95" s="433" t="e">
        <f>Tabla24105[[#This Row],[Columna4]]/4.2</f>
        <v>#DIV/0!</v>
      </c>
      <c r="DB95" s="433" t="e">
        <f>Tabla2410[[#This Row],[Columna16]]</f>
        <v>#DIV/0!</v>
      </c>
      <c r="DC95" s="433" t="e">
        <f>(Tabla24105[[#This Row],[Columna4]]*DC$56/$CT$56)*$DB$55</f>
        <v>#DIV/0!</v>
      </c>
      <c r="DD95" s="433" t="e">
        <f>(Tabla24105[[#This Row],[Columna4]]*DD$56/$CT$56)*$DB$55</f>
        <v>#DIV/0!</v>
      </c>
      <c r="DE95" s="433" t="e">
        <f>(Tabla24105[[#This Row],[Columna4]]*DE$56/$CT$56)*$DB$55</f>
        <v>#DIV/0!</v>
      </c>
      <c r="DF95" s="433" t="e">
        <f>(Tabla24105[[#This Row],[Columna4]]*DF$56/$CT$56)*$DB$55</f>
        <v>#DIV/0!</v>
      </c>
      <c r="DG95" s="433" t="e">
        <f>(Tabla24105[[#This Row],[Columna4]]*DG$56/$CT$56)*$DB$55</f>
        <v>#DIV/0!</v>
      </c>
      <c r="DH95" s="433" t="e">
        <f>(Tabla24105[[#This Row],[Columna4]]*DH$56/$CT$56)*$DB$55</f>
        <v>#DIV/0!</v>
      </c>
      <c r="DI95" s="433" t="e">
        <f>(Tabla24105[[#This Row],[Columna4]]*DI$56/$CT$56)*$DB$55</f>
        <v>#DIV/0!</v>
      </c>
      <c r="DJ95" s="433" t="e">
        <f>(Tabla24105[[#This Row],[Columna4]]*DJ$56/$CT$56)*$DB$55</f>
        <v>#DIV/0!</v>
      </c>
      <c r="DK95" s="433" t="e">
        <f>(Tabla24105[[#This Row],[Columna4]]*DK$56/$CT$56)*$DB$55</f>
        <v>#DIV/0!</v>
      </c>
      <c r="DL95" s="433" t="e">
        <f>(Tabla24105[[#This Row],[Columna4]]*DL$56/$CT$56)*$DB$55</f>
        <v>#DIV/0!</v>
      </c>
      <c r="DM95" s="433" t="e">
        <f>(Tabla24105[[#This Row],[Columna4]]*DM$56/$CT$56)*$DB$55</f>
        <v>#DIV/0!</v>
      </c>
      <c r="DN95" s="433" t="e">
        <f>(Tabla24105[[#This Row],[Columna4]]*DN$56/$CT$56)*$DB$55</f>
        <v>#DIV/0!</v>
      </c>
      <c r="DP95" s="529"/>
      <c r="DQ95" s="529"/>
      <c r="DR95" s="414" t="e">
        <f>$AS$92</f>
        <v>#DIV/0!</v>
      </c>
      <c r="DS95" s="242" t="str">
        <f>Tabla24[[#This Row],[Columna1]]</f>
        <v>C37</v>
      </c>
      <c r="DT95" s="433" t="e">
        <f>Tabla241057[[#This Row],[Columna3]]/7</f>
        <v>#DIV/0!</v>
      </c>
      <c r="DU95" s="433" t="e">
        <f>Tabla241057[[#This Row],[Columna4]]/4.2</f>
        <v>#DIV/0!</v>
      </c>
      <c r="DV95" s="433" t="e">
        <f>Tabla24105[[#This Row],[Columna16]]</f>
        <v>#DIV/0!</v>
      </c>
      <c r="DW95" s="433" t="e">
        <f>(Tabla241057[[#This Row],[Columna4]]*DW$56/$DN$56)*$DV$55</f>
        <v>#DIV/0!</v>
      </c>
      <c r="DX95" s="433" t="e">
        <f>(Tabla241057[[#This Row],[Columna4]]*DX$56/$DN$56)*$DV$55</f>
        <v>#DIV/0!</v>
      </c>
      <c r="DY95" s="433" t="e">
        <f>(Tabla241057[[#This Row],[Columna4]]*DY$56/$DN$56)*$DV$55</f>
        <v>#DIV/0!</v>
      </c>
      <c r="DZ95" s="433" t="e">
        <f>(Tabla241057[[#This Row],[Columna4]]*DZ$56/$DN$56)*$DV$55</f>
        <v>#DIV/0!</v>
      </c>
      <c r="EA95" s="433" t="e">
        <f>(Tabla241057[[#This Row],[Columna4]]*EA$56/$DN$56)*$DV$55</f>
        <v>#DIV/0!</v>
      </c>
      <c r="EB95" s="433" t="e">
        <f>(Tabla241057[[#This Row],[Columna4]]*EB$56/$DN$56)*$DV$55</f>
        <v>#DIV/0!</v>
      </c>
      <c r="EC95" s="433" t="e">
        <f>(Tabla241057[[#This Row],[Columna4]]*EC$56/$DN$56)*$DV$55</f>
        <v>#DIV/0!</v>
      </c>
      <c r="ED95" s="433" t="e">
        <f>(Tabla241057[[#This Row],[Columna4]]*ED$56/$DN$56)*$DV$55</f>
        <v>#DIV/0!</v>
      </c>
      <c r="EE95" s="433" t="e">
        <f>(Tabla241057[[#This Row],[Columna4]]*EE$56/$DN$56)*$DV$55</f>
        <v>#DIV/0!</v>
      </c>
      <c r="EF95" s="433" t="e">
        <f>(Tabla241057[[#This Row],[Columna4]]*EF$56/$DN$56)*$DV$55</f>
        <v>#DIV/0!</v>
      </c>
      <c r="EG95" s="433" t="e">
        <f>(Tabla241057[[#This Row],[Columna4]]*EG$56/$DN$56)*$DV$55</f>
        <v>#DIV/0!</v>
      </c>
      <c r="EH95" s="433" t="e">
        <f>(Tabla241057[[#This Row],[Columna4]]*EH$56/$DN$56)*$DV$55</f>
        <v>#DIV/0!</v>
      </c>
      <c r="EJ95" s="529"/>
      <c r="EK95" s="529"/>
      <c r="EL95" s="414" t="e">
        <f>$AS$92</f>
        <v>#DIV/0!</v>
      </c>
      <c r="EM95" s="242" t="str">
        <f>Tabla24[[#This Row],[Columna1]]</f>
        <v>C37</v>
      </c>
      <c r="EN95" s="433" t="e">
        <f>Tabla24105711[[#This Row],[Columna3]]/7</f>
        <v>#DIV/0!</v>
      </c>
      <c r="EO95" s="433" t="e">
        <f>Tabla24105711[[#This Row],[Columna4]]/4.2</f>
        <v>#DIV/0!</v>
      </c>
      <c r="EP95" s="433" t="e">
        <f>Tabla241057[[#This Row],[Columna16]]</f>
        <v>#DIV/0!</v>
      </c>
      <c r="EQ95" s="433" t="e">
        <f>(Tabla24105711[[#This Row],[Columna4]]*EQ$56/$EH$56)*$EP$55</f>
        <v>#DIV/0!</v>
      </c>
      <c r="ER95" s="433" t="e">
        <f>(Tabla24105711[[#This Row],[Columna4]]*ER$56/$EH$56)*$EP$55</f>
        <v>#DIV/0!</v>
      </c>
      <c r="ES95" s="433" t="e">
        <f>(Tabla24105711[[#This Row],[Columna4]]*ES$56/$EH$56)*$EP$55</f>
        <v>#DIV/0!</v>
      </c>
      <c r="ET95" s="433" t="e">
        <f>(Tabla24105711[[#This Row],[Columna4]]*ET$56/$EH$56)*$EP$55</f>
        <v>#DIV/0!</v>
      </c>
      <c r="EU95" s="433" t="e">
        <f>(Tabla24105711[[#This Row],[Columna4]]*EU$56/$EH$56)*$EP$55</f>
        <v>#DIV/0!</v>
      </c>
      <c r="EV95" s="433" t="e">
        <f>(Tabla24105711[[#This Row],[Columna4]]*EV$56/$EH$56)*$EP$55</f>
        <v>#DIV/0!</v>
      </c>
      <c r="EW95" s="433" t="e">
        <f>(Tabla24105711[[#This Row],[Columna4]]*EW$56/$EH$56)*$EP$55</f>
        <v>#DIV/0!</v>
      </c>
      <c r="EX95" s="433" t="e">
        <f>(Tabla24105711[[#This Row],[Columna4]]*EX$56/$EH$56)*$EP$55</f>
        <v>#DIV/0!</v>
      </c>
      <c r="EY95" s="433" t="e">
        <f>(Tabla24105711[[#This Row],[Columna4]]*EY$56/$EH$56)*$EP$55</f>
        <v>#DIV/0!</v>
      </c>
      <c r="EZ95" s="433" t="e">
        <f>(Tabla24105711[[#This Row],[Columna4]]*EZ$56/$EH$56)*$EP$55</f>
        <v>#DIV/0!</v>
      </c>
      <c r="FA95" s="433" t="e">
        <f>(Tabla24105711[[#This Row],[Columna4]]*FA$56/$EH$56)*$EP$55</f>
        <v>#DIV/0!</v>
      </c>
      <c r="FB95" s="433" t="e">
        <f>(Tabla24105711[[#This Row],[Columna4]]*FB$56/$EH$56)*$EP$55</f>
        <v>#DIV/0!</v>
      </c>
      <c r="FD95" s="397" t="s">
        <v>144</v>
      </c>
      <c r="FE95" s="399" t="s">
        <v>141</v>
      </c>
      <c r="FF95" s="400">
        <f t="shared" si="322"/>
        <v>0</v>
      </c>
      <c r="FG95" s="400">
        <f t="shared" si="322"/>
        <v>0</v>
      </c>
      <c r="FH95" s="400">
        <f t="shared" si="322"/>
        <v>0</v>
      </c>
      <c r="FI95" s="400">
        <f t="shared" si="322"/>
        <v>0</v>
      </c>
      <c r="FJ95" s="400">
        <f t="shared" si="322"/>
        <v>0</v>
      </c>
      <c r="FK95" s="400">
        <f t="shared" si="322"/>
        <v>0</v>
      </c>
      <c r="FL95" s="400">
        <f t="shared" si="322"/>
        <v>0</v>
      </c>
      <c r="FM95" s="400">
        <f t="shared" si="322"/>
        <v>0</v>
      </c>
      <c r="FN95" s="400">
        <f t="shared" si="322"/>
        <v>0</v>
      </c>
      <c r="FO95" s="400">
        <f t="shared" si="322"/>
        <v>0</v>
      </c>
      <c r="FP95" s="400">
        <f t="shared" si="322"/>
        <v>0</v>
      </c>
      <c r="FQ95" s="400">
        <f t="shared" si="322"/>
        <v>0</v>
      </c>
      <c r="FR95" s="363">
        <f t="shared" si="197"/>
        <v>0</v>
      </c>
      <c r="FS95" s="260" t="e">
        <f t="shared" si="198"/>
        <v>#DIV/0!</v>
      </c>
      <c r="FV95" s="526" t="s">
        <v>444</v>
      </c>
      <c r="FW95" s="526"/>
      <c r="FX95" s="526"/>
      <c r="FY95" s="526"/>
      <c r="FZ95" s="526"/>
      <c r="GA95" s="526"/>
      <c r="GB95" s="526"/>
      <c r="GC95" s="245" t="s">
        <v>435</v>
      </c>
      <c r="GD95" s="246">
        <v>0</v>
      </c>
      <c r="GE95" s="247" t="str">
        <f>IF(GD95=0%,"No Calculado","Ajustado")</f>
        <v>No Calculado</v>
      </c>
      <c r="GF95" s="254"/>
      <c r="GG95" s="245" t="s">
        <v>431</v>
      </c>
      <c r="GH95" s="246">
        <v>0</v>
      </c>
      <c r="GI95" s="247" t="str">
        <f>IF(GH95=0%,"Ya Calculado","Mejorado")</f>
        <v>Ya Calculado</v>
      </c>
      <c r="HD95" s="65" t="s">
        <v>758</v>
      </c>
      <c r="HE95" s="67">
        <v>0</v>
      </c>
      <c r="HF95" s="77"/>
      <c r="HG95" s="78"/>
      <c r="HH95" s="79"/>
      <c r="HI95" s="51"/>
    </row>
    <row r="96" spans="39:247" ht="14.4" customHeight="1" x14ac:dyDescent="0.3">
      <c r="AM96" s="412">
        <f t="shared" si="270"/>
        <v>0</v>
      </c>
      <c r="AN96" s="412">
        <f t="shared" si="271"/>
        <v>0</v>
      </c>
      <c r="AO96" s="412">
        <f t="shared" si="272"/>
        <v>0</v>
      </c>
      <c r="AP96" s="412">
        <f t="shared" si="273"/>
        <v>0</v>
      </c>
      <c r="AQ96" s="413" t="s">
        <v>843</v>
      </c>
      <c r="AR96" s="297">
        <f t="shared" si="274"/>
        <v>0</v>
      </c>
      <c r="AS96" s="414" t="e">
        <f t="shared" si="267"/>
        <v>#DIV/0!</v>
      </c>
      <c r="AT96" s="529"/>
      <c r="AU96" s="529"/>
      <c r="AV96" s="299">
        <v>0</v>
      </c>
      <c r="AW96" s="300">
        <v>0</v>
      </c>
      <c r="AX96" s="301"/>
      <c r="BH96" s="529"/>
      <c r="BI96" s="529"/>
      <c r="BJ96" s="414" t="e">
        <f>$AS$93</f>
        <v>#DIV/0!</v>
      </c>
      <c r="BK96" s="242" t="str">
        <f t="shared" si="277"/>
        <v>C38</v>
      </c>
      <c r="BL96" s="433">
        <f>Tabla24[[#This Row],[Columna3]]/7</f>
        <v>0</v>
      </c>
      <c r="BM96" s="433">
        <f>Tabla24[[#This Row],[Columna4]]/4.2</f>
        <v>0</v>
      </c>
      <c r="BN96" s="433">
        <f t="shared" si="278"/>
        <v>0</v>
      </c>
      <c r="BO96" s="433">
        <f t="shared" si="279"/>
        <v>0</v>
      </c>
      <c r="BP96" s="433">
        <f t="shared" si="280"/>
        <v>0</v>
      </c>
      <c r="BQ96" s="433">
        <f t="shared" si="281"/>
        <v>0</v>
      </c>
      <c r="BR96" s="433">
        <f t="shared" si="282"/>
        <v>0</v>
      </c>
      <c r="BS96" s="433">
        <f t="shared" si="283"/>
        <v>0</v>
      </c>
      <c r="BT96" s="433">
        <f t="shared" si="284"/>
        <v>0</v>
      </c>
      <c r="BU96" s="433">
        <f t="shared" si="285"/>
        <v>0</v>
      </c>
      <c r="BV96" s="433">
        <f t="shared" si="286"/>
        <v>0</v>
      </c>
      <c r="BW96" s="433">
        <f t="shared" si="287"/>
        <v>0</v>
      </c>
      <c r="BX96" s="433">
        <f t="shared" si="288"/>
        <v>0</v>
      </c>
      <c r="BY96" s="433">
        <f t="shared" si="289"/>
        <v>0</v>
      </c>
      <c r="BZ96" s="433">
        <f t="shared" si="290"/>
        <v>0</v>
      </c>
      <c r="CB96" s="529"/>
      <c r="CC96" s="529"/>
      <c r="CD96" s="414" t="e">
        <f>$AS$93</f>
        <v>#DIV/0!</v>
      </c>
      <c r="CE96" s="242" t="str">
        <f>Tabla24[[#This Row],[Columna1]]</f>
        <v>C38</v>
      </c>
      <c r="CF96" s="433">
        <f>Tabla2410[[#This Row],[Columna3]]/7</f>
        <v>0</v>
      </c>
      <c r="CG96" s="433">
        <f>Tabla2410[[#This Row],[Columna4]]/4.2</f>
        <v>0</v>
      </c>
      <c r="CH96" s="433">
        <f>Tabla24[[#This Row],[Columna16]]</f>
        <v>0</v>
      </c>
      <c r="CI96" s="433" t="e">
        <f>(Tabla2410[[#This Row],[Columna4]]*CI$56/$BZ$56)*$CH$55</f>
        <v>#DIV/0!</v>
      </c>
      <c r="CJ96" s="433" t="e">
        <f>(Tabla2410[[#This Row],[Columna4]]*CJ$56/$BZ$56)*$CH$55</f>
        <v>#DIV/0!</v>
      </c>
      <c r="CK96" s="433" t="e">
        <f>(Tabla2410[[#This Row],[Columna4]]*CK$56/$BZ$56)*$CH$55</f>
        <v>#DIV/0!</v>
      </c>
      <c r="CL96" s="433" t="e">
        <f>(Tabla2410[[#This Row],[Columna4]]*CL$56/$BZ$56)*$CH$55</f>
        <v>#DIV/0!</v>
      </c>
      <c r="CM96" s="433" t="e">
        <f>(Tabla2410[[#This Row],[Columna4]]*CM$56/$BZ$56)*$CH$55</f>
        <v>#DIV/0!</v>
      </c>
      <c r="CN96" s="433" t="e">
        <f>(Tabla2410[[#This Row],[Columna4]]*CN$56/$BZ$56)*$CH$55</f>
        <v>#DIV/0!</v>
      </c>
      <c r="CO96" s="433" t="e">
        <f>(Tabla2410[[#This Row],[Columna4]]*CO$56/$BZ$56)*$CH$55</f>
        <v>#DIV/0!</v>
      </c>
      <c r="CP96" s="433" t="e">
        <f>(Tabla2410[[#This Row],[Columna4]]*CP$56/$BZ$56)*$CH$55</f>
        <v>#DIV/0!</v>
      </c>
      <c r="CQ96" s="433" t="e">
        <f>(Tabla2410[[#This Row],[Columna4]]*CQ$56/$BZ$56)*$CH$55</f>
        <v>#DIV/0!</v>
      </c>
      <c r="CR96" s="433" t="e">
        <f>(Tabla2410[[#This Row],[Columna4]]*CR$56/$BZ$56)*$CH$55</f>
        <v>#DIV/0!</v>
      </c>
      <c r="CS96" s="433" t="e">
        <f>(Tabla2410[[#This Row],[Columna4]]*CS$56/$BZ$56)*$CH$55</f>
        <v>#DIV/0!</v>
      </c>
      <c r="CT96" s="433" t="e">
        <f>(Tabla2410[[#This Row],[Columna4]]*CT$56/$BZ$56)*$CH$55</f>
        <v>#DIV/0!</v>
      </c>
      <c r="CV96" s="529"/>
      <c r="CW96" s="529"/>
      <c r="CX96" s="414" t="e">
        <f>$AS$93</f>
        <v>#DIV/0!</v>
      </c>
      <c r="CY96" s="242" t="str">
        <f>Tabla24[[#This Row],[Columna1]]</f>
        <v>C38</v>
      </c>
      <c r="CZ96" s="433" t="e">
        <f>Tabla24105[[#This Row],[Columna3]]/7</f>
        <v>#DIV/0!</v>
      </c>
      <c r="DA96" s="433" t="e">
        <f>Tabla24105[[#This Row],[Columna4]]/4.2</f>
        <v>#DIV/0!</v>
      </c>
      <c r="DB96" s="433" t="e">
        <f>Tabla2410[[#This Row],[Columna16]]</f>
        <v>#DIV/0!</v>
      </c>
      <c r="DC96" s="433" t="e">
        <f>(Tabla24105[[#This Row],[Columna4]]*DC$56/$CT$56)*$DB$55</f>
        <v>#DIV/0!</v>
      </c>
      <c r="DD96" s="433" t="e">
        <f>(Tabla24105[[#This Row],[Columna4]]*DD$56/$CT$56)*$DB$55</f>
        <v>#DIV/0!</v>
      </c>
      <c r="DE96" s="433" t="e">
        <f>(Tabla24105[[#This Row],[Columna4]]*DE$56/$CT$56)*$DB$55</f>
        <v>#DIV/0!</v>
      </c>
      <c r="DF96" s="433" t="e">
        <f>(Tabla24105[[#This Row],[Columna4]]*DF$56/$CT$56)*$DB$55</f>
        <v>#DIV/0!</v>
      </c>
      <c r="DG96" s="433" t="e">
        <f>(Tabla24105[[#This Row],[Columna4]]*DG$56/$CT$56)*$DB$55</f>
        <v>#DIV/0!</v>
      </c>
      <c r="DH96" s="433" t="e">
        <f>(Tabla24105[[#This Row],[Columna4]]*DH$56/$CT$56)*$DB$55</f>
        <v>#DIV/0!</v>
      </c>
      <c r="DI96" s="433" t="e">
        <f>(Tabla24105[[#This Row],[Columna4]]*DI$56/$CT$56)*$DB$55</f>
        <v>#DIV/0!</v>
      </c>
      <c r="DJ96" s="433" t="e">
        <f>(Tabla24105[[#This Row],[Columna4]]*DJ$56/$CT$56)*$DB$55</f>
        <v>#DIV/0!</v>
      </c>
      <c r="DK96" s="433" t="e">
        <f>(Tabla24105[[#This Row],[Columna4]]*DK$56/$CT$56)*$DB$55</f>
        <v>#DIV/0!</v>
      </c>
      <c r="DL96" s="433" t="e">
        <f>(Tabla24105[[#This Row],[Columna4]]*DL$56/$CT$56)*$DB$55</f>
        <v>#DIV/0!</v>
      </c>
      <c r="DM96" s="433" t="e">
        <f>(Tabla24105[[#This Row],[Columna4]]*DM$56/$CT$56)*$DB$55</f>
        <v>#DIV/0!</v>
      </c>
      <c r="DN96" s="433" t="e">
        <f>(Tabla24105[[#This Row],[Columna4]]*DN$56/$CT$56)*$DB$55</f>
        <v>#DIV/0!</v>
      </c>
      <c r="DP96" s="529"/>
      <c r="DQ96" s="529"/>
      <c r="DR96" s="414" t="e">
        <f>$AS$93</f>
        <v>#DIV/0!</v>
      </c>
      <c r="DS96" s="242" t="str">
        <f>Tabla24[[#This Row],[Columna1]]</f>
        <v>C38</v>
      </c>
      <c r="DT96" s="433" t="e">
        <f>Tabla241057[[#This Row],[Columna3]]/7</f>
        <v>#DIV/0!</v>
      </c>
      <c r="DU96" s="433" t="e">
        <f>Tabla241057[[#This Row],[Columna4]]/4.2</f>
        <v>#DIV/0!</v>
      </c>
      <c r="DV96" s="433" t="e">
        <f>Tabla24105[[#This Row],[Columna16]]</f>
        <v>#DIV/0!</v>
      </c>
      <c r="DW96" s="433" t="e">
        <f>(Tabla241057[[#This Row],[Columna4]]*DW$56/$DN$56)*$DV$55</f>
        <v>#DIV/0!</v>
      </c>
      <c r="DX96" s="433" t="e">
        <f>(Tabla241057[[#This Row],[Columna4]]*DX$56/$DN$56)*$DV$55</f>
        <v>#DIV/0!</v>
      </c>
      <c r="DY96" s="433" t="e">
        <f>(Tabla241057[[#This Row],[Columna4]]*DY$56/$DN$56)*$DV$55</f>
        <v>#DIV/0!</v>
      </c>
      <c r="DZ96" s="433" t="e">
        <f>(Tabla241057[[#This Row],[Columna4]]*DZ$56/$DN$56)*$DV$55</f>
        <v>#DIV/0!</v>
      </c>
      <c r="EA96" s="433" t="e">
        <f>(Tabla241057[[#This Row],[Columna4]]*EA$56/$DN$56)*$DV$55</f>
        <v>#DIV/0!</v>
      </c>
      <c r="EB96" s="433" t="e">
        <f>(Tabla241057[[#This Row],[Columna4]]*EB$56/$DN$56)*$DV$55</f>
        <v>#DIV/0!</v>
      </c>
      <c r="EC96" s="433" t="e">
        <f>(Tabla241057[[#This Row],[Columna4]]*EC$56/$DN$56)*$DV$55</f>
        <v>#DIV/0!</v>
      </c>
      <c r="ED96" s="433" t="e">
        <f>(Tabla241057[[#This Row],[Columna4]]*ED$56/$DN$56)*$DV$55</f>
        <v>#DIV/0!</v>
      </c>
      <c r="EE96" s="433" t="e">
        <f>(Tabla241057[[#This Row],[Columna4]]*EE$56/$DN$56)*$DV$55</f>
        <v>#DIV/0!</v>
      </c>
      <c r="EF96" s="433" t="e">
        <f>(Tabla241057[[#This Row],[Columna4]]*EF$56/$DN$56)*$DV$55</f>
        <v>#DIV/0!</v>
      </c>
      <c r="EG96" s="433" t="e">
        <f>(Tabla241057[[#This Row],[Columna4]]*EG$56/$DN$56)*$DV$55</f>
        <v>#DIV/0!</v>
      </c>
      <c r="EH96" s="433" t="e">
        <f>(Tabla241057[[#This Row],[Columna4]]*EH$56/$DN$56)*$DV$55</f>
        <v>#DIV/0!</v>
      </c>
      <c r="EJ96" s="529"/>
      <c r="EK96" s="529"/>
      <c r="EL96" s="414" t="e">
        <f>$AS$93</f>
        <v>#DIV/0!</v>
      </c>
      <c r="EM96" s="242" t="str">
        <f>Tabla24[[#This Row],[Columna1]]</f>
        <v>C38</v>
      </c>
      <c r="EN96" s="433" t="e">
        <f>Tabla24105711[[#This Row],[Columna3]]/7</f>
        <v>#DIV/0!</v>
      </c>
      <c r="EO96" s="433" t="e">
        <f>Tabla24105711[[#This Row],[Columna4]]/4.2</f>
        <v>#DIV/0!</v>
      </c>
      <c r="EP96" s="433" t="e">
        <f>Tabla241057[[#This Row],[Columna16]]</f>
        <v>#DIV/0!</v>
      </c>
      <c r="EQ96" s="433" t="e">
        <f>(Tabla24105711[[#This Row],[Columna4]]*EQ$56/$EH$56)*$EP$55</f>
        <v>#DIV/0!</v>
      </c>
      <c r="ER96" s="433" t="e">
        <f>(Tabla24105711[[#This Row],[Columna4]]*ER$56/$EH$56)*$EP$55</f>
        <v>#DIV/0!</v>
      </c>
      <c r="ES96" s="433" t="e">
        <f>(Tabla24105711[[#This Row],[Columna4]]*ES$56/$EH$56)*$EP$55</f>
        <v>#DIV/0!</v>
      </c>
      <c r="ET96" s="433" t="e">
        <f>(Tabla24105711[[#This Row],[Columna4]]*ET$56/$EH$56)*$EP$55</f>
        <v>#DIV/0!</v>
      </c>
      <c r="EU96" s="433" t="e">
        <f>(Tabla24105711[[#This Row],[Columna4]]*EU$56/$EH$56)*$EP$55</f>
        <v>#DIV/0!</v>
      </c>
      <c r="EV96" s="433" t="e">
        <f>(Tabla24105711[[#This Row],[Columna4]]*EV$56/$EH$56)*$EP$55</f>
        <v>#DIV/0!</v>
      </c>
      <c r="EW96" s="433" t="e">
        <f>(Tabla24105711[[#This Row],[Columna4]]*EW$56/$EH$56)*$EP$55</f>
        <v>#DIV/0!</v>
      </c>
      <c r="EX96" s="433" t="e">
        <f>(Tabla24105711[[#This Row],[Columna4]]*EX$56/$EH$56)*$EP$55</f>
        <v>#DIV/0!</v>
      </c>
      <c r="EY96" s="433" t="e">
        <f>(Tabla24105711[[#This Row],[Columna4]]*EY$56/$EH$56)*$EP$55</f>
        <v>#DIV/0!</v>
      </c>
      <c r="EZ96" s="433" t="e">
        <f>(Tabla24105711[[#This Row],[Columna4]]*EZ$56/$EH$56)*$EP$55</f>
        <v>#DIV/0!</v>
      </c>
      <c r="FA96" s="433" t="e">
        <f>(Tabla24105711[[#This Row],[Columna4]]*FA$56/$EH$56)*$EP$55</f>
        <v>#DIV/0!</v>
      </c>
      <c r="FB96" s="433" t="e">
        <f>(Tabla24105711[[#This Row],[Columna4]]*FB$56/$EH$56)*$EP$55</f>
        <v>#DIV/0!</v>
      </c>
      <c r="FD96" s="429" t="s">
        <v>145</v>
      </c>
      <c r="FE96" s="399" t="s">
        <v>143</v>
      </c>
      <c r="FF96" s="400">
        <f t="shared" si="322"/>
        <v>0</v>
      </c>
      <c r="FG96" s="400">
        <f t="shared" si="322"/>
        <v>0</v>
      </c>
      <c r="FH96" s="400">
        <f t="shared" si="322"/>
        <v>0</v>
      </c>
      <c r="FI96" s="400">
        <f t="shared" si="322"/>
        <v>0</v>
      </c>
      <c r="FJ96" s="400">
        <f t="shared" si="322"/>
        <v>0</v>
      </c>
      <c r="FK96" s="400">
        <f t="shared" si="322"/>
        <v>0</v>
      </c>
      <c r="FL96" s="400">
        <f t="shared" si="322"/>
        <v>0</v>
      </c>
      <c r="FM96" s="400">
        <f t="shared" si="322"/>
        <v>0</v>
      </c>
      <c r="FN96" s="400">
        <f t="shared" si="322"/>
        <v>0</v>
      </c>
      <c r="FO96" s="400">
        <f t="shared" si="322"/>
        <v>0</v>
      </c>
      <c r="FP96" s="400">
        <f t="shared" si="322"/>
        <v>0</v>
      </c>
      <c r="FQ96" s="400">
        <f t="shared" si="322"/>
        <v>0</v>
      </c>
      <c r="FR96" s="363">
        <f t="shared" si="197"/>
        <v>0</v>
      </c>
      <c r="FS96" s="260" t="e">
        <f t="shared" si="198"/>
        <v>#DIV/0!</v>
      </c>
      <c r="FV96" s="526"/>
      <c r="FW96" s="526"/>
      <c r="FX96" s="526"/>
      <c r="FY96" s="526"/>
      <c r="FZ96" s="526"/>
      <c r="GA96" s="526"/>
      <c r="GB96" s="526"/>
      <c r="GC96" s="245" t="s">
        <v>436</v>
      </c>
      <c r="GD96" s="246">
        <v>0</v>
      </c>
      <c r="GE96" s="247" t="str">
        <f>IF(GD96=0%,"No Incluido","Adaptado")</f>
        <v>No Incluido</v>
      </c>
      <c r="GF96" s="254"/>
      <c r="GG96" s="245" t="s">
        <v>432</v>
      </c>
      <c r="GH96" s="246">
        <v>0</v>
      </c>
      <c r="GI96" s="247" t="str">
        <f>IF(GH96=0%,"No Incluido","Adaptado")</f>
        <v>No Incluido</v>
      </c>
      <c r="HD96" s="65"/>
      <c r="HE96" s="67"/>
      <c r="HF96" s="77"/>
      <c r="HG96" s="78"/>
      <c r="HH96" s="79"/>
      <c r="HI96" s="51"/>
    </row>
    <row r="97" spans="39:217" ht="14.4" customHeight="1" x14ac:dyDescent="0.3">
      <c r="AM97" s="412">
        <f t="shared" si="270"/>
        <v>0</v>
      </c>
      <c r="AN97" s="412">
        <f t="shared" si="271"/>
        <v>0</v>
      </c>
      <c r="AO97" s="412">
        <f t="shared" si="272"/>
        <v>0</v>
      </c>
      <c r="AP97" s="412">
        <f t="shared" si="273"/>
        <v>0</v>
      </c>
      <c r="AQ97" s="413" t="s">
        <v>845</v>
      </c>
      <c r="AR97" s="297">
        <f t="shared" si="274"/>
        <v>0</v>
      </c>
      <c r="AS97" s="414" t="e">
        <f t="shared" si="267"/>
        <v>#DIV/0!</v>
      </c>
      <c r="AT97" s="529"/>
      <c r="AU97" s="529"/>
      <c r="AV97" s="299">
        <v>0</v>
      </c>
      <c r="AW97" s="300">
        <v>0</v>
      </c>
      <c r="AX97" s="301"/>
      <c r="BH97" s="529"/>
      <c r="BI97" s="529"/>
      <c r="BJ97" s="414" t="e">
        <f>$AS$94</f>
        <v>#DIV/0!</v>
      </c>
      <c r="BK97" s="242" t="str">
        <f t="shared" si="277"/>
        <v>C39</v>
      </c>
      <c r="BL97" s="433">
        <f>Tabla24[[#This Row],[Columna3]]/7</f>
        <v>0</v>
      </c>
      <c r="BM97" s="433">
        <f>Tabla24[[#This Row],[Columna4]]/4.2</f>
        <v>0</v>
      </c>
      <c r="BN97" s="433">
        <f t="shared" si="278"/>
        <v>0</v>
      </c>
      <c r="BO97" s="433">
        <f t="shared" si="279"/>
        <v>0</v>
      </c>
      <c r="BP97" s="433">
        <f t="shared" si="280"/>
        <v>0</v>
      </c>
      <c r="BQ97" s="433">
        <f t="shared" si="281"/>
        <v>0</v>
      </c>
      <c r="BR97" s="433">
        <f t="shared" si="282"/>
        <v>0</v>
      </c>
      <c r="BS97" s="433">
        <f t="shared" si="283"/>
        <v>0</v>
      </c>
      <c r="BT97" s="433">
        <f t="shared" si="284"/>
        <v>0</v>
      </c>
      <c r="BU97" s="433">
        <f t="shared" si="285"/>
        <v>0</v>
      </c>
      <c r="BV97" s="433">
        <f t="shared" si="286"/>
        <v>0</v>
      </c>
      <c r="BW97" s="433">
        <f t="shared" si="287"/>
        <v>0</v>
      </c>
      <c r="BX97" s="433">
        <f t="shared" si="288"/>
        <v>0</v>
      </c>
      <c r="BY97" s="433">
        <f t="shared" si="289"/>
        <v>0</v>
      </c>
      <c r="BZ97" s="433">
        <f t="shared" si="290"/>
        <v>0</v>
      </c>
      <c r="CB97" s="529"/>
      <c r="CC97" s="529"/>
      <c r="CD97" s="414" t="e">
        <f>$AS$94</f>
        <v>#DIV/0!</v>
      </c>
      <c r="CE97" s="242" t="str">
        <f>Tabla24[[#This Row],[Columna1]]</f>
        <v>C39</v>
      </c>
      <c r="CF97" s="433">
        <f>Tabla2410[[#This Row],[Columna3]]/7</f>
        <v>0</v>
      </c>
      <c r="CG97" s="433">
        <f>Tabla2410[[#This Row],[Columna4]]/4.2</f>
        <v>0</v>
      </c>
      <c r="CH97" s="433">
        <f>Tabla24[[#This Row],[Columna16]]</f>
        <v>0</v>
      </c>
      <c r="CI97" s="433" t="e">
        <f>(Tabla2410[[#This Row],[Columna4]]*CI$56/$BZ$56)*$CH$55</f>
        <v>#DIV/0!</v>
      </c>
      <c r="CJ97" s="433" t="e">
        <f>(Tabla2410[[#This Row],[Columna4]]*CJ$56/$BZ$56)*$CH$55</f>
        <v>#DIV/0!</v>
      </c>
      <c r="CK97" s="433" t="e">
        <f>(Tabla2410[[#This Row],[Columna4]]*CK$56/$BZ$56)*$CH$55</f>
        <v>#DIV/0!</v>
      </c>
      <c r="CL97" s="433" t="e">
        <f>(Tabla2410[[#This Row],[Columna4]]*CL$56/$BZ$56)*$CH$55</f>
        <v>#DIV/0!</v>
      </c>
      <c r="CM97" s="433" t="e">
        <f>(Tabla2410[[#This Row],[Columna4]]*CM$56/$BZ$56)*$CH$55</f>
        <v>#DIV/0!</v>
      </c>
      <c r="CN97" s="433" t="e">
        <f>(Tabla2410[[#This Row],[Columna4]]*CN$56/$BZ$56)*$CH$55</f>
        <v>#DIV/0!</v>
      </c>
      <c r="CO97" s="433" t="e">
        <f>(Tabla2410[[#This Row],[Columna4]]*CO$56/$BZ$56)*$CH$55</f>
        <v>#DIV/0!</v>
      </c>
      <c r="CP97" s="433" t="e">
        <f>(Tabla2410[[#This Row],[Columna4]]*CP$56/$BZ$56)*$CH$55</f>
        <v>#DIV/0!</v>
      </c>
      <c r="CQ97" s="433" t="e">
        <f>(Tabla2410[[#This Row],[Columna4]]*CQ$56/$BZ$56)*$CH$55</f>
        <v>#DIV/0!</v>
      </c>
      <c r="CR97" s="433" t="e">
        <f>(Tabla2410[[#This Row],[Columna4]]*CR$56/$BZ$56)*$CH$55</f>
        <v>#DIV/0!</v>
      </c>
      <c r="CS97" s="433" t="e">
        <f>(Tabla2410[[#This Row],[Columna4]]*CS$56/$BZ$56)*$CH$55</f>
        <v>#DIV/0!</v>
      </c>
      <c r="CT97" s="433" t="e">
        <f>(Tabla2410[[#This Row],[Columna4]]*CT$56/$BZ$56)*$CH$55</f>
        <v>#DIV/0!</v>
      </c>
      <c r="CV97" s="529"/>
      <c r="CW97" s="529"/>
      <c r="CX97" s="414" t="e">
        <f>$AS$94</f>
        <v>#DIV/0!</v>
      </c>
      <c r="CY97" s="242" t="str">
        <f>Tabla24[[#This Row],[Columna1]]</f>
        <v>C39</v>
      </c>
      <c r="CZ97" s="433" t="e">
        <f>Tabla24105[[#This Row],[Columna3]]/7</f>
        <v>#DIV/0!</v>
      </c>
      <c r="DA97" s="433" t="e">
        <f>Tabla24105[[#This Row],[Columna4]]/4.2</f>
        <v>#DIV/0!</v>
      </c>
      <c r="DB97" s="433" t="e">
        <f>Tabla2410[[#This Row],[Columna16]]</f>
        <v>#DIV/0!</v>
      </c>
      <c r="DC97" s="433" t="e">
        <f>(Tabla24105[[#This Row],[Columna4]]*DC$56/$CT$56)*$DB$55</f>
        <v>#DIV/0!</v>
      </c>
      <c r="DD97" s="433" t="e">
        <f>(Tabla24105[[#This Row],[Columna4]]*DD$56/$CT$56)*$DB$55</f>
        <v>#DIV/0!</v>
      </c>
      <c r="DE97" s="433" t="e">
        <f>(Tabla24105[[#This Row],[Columna4]]*DE$56/$CT$56)*$DB$55</f>
        <v>#DIV/0!</v>
      </c>
      <c r="DF97" s="433" t="e">
        <f>(Tabla24105[[#This Row],[Columna4]]*DF$56/$CT$56)*$DB$55</f>
        <v>#DIV/0!</v>
      </c>
      <c r="DG97" s="433" t="e">
        <f>(Tabla24105[[#This Row],[Columna4]]*DG$56/$CT$56)*$DB$55</f>
        <v>#DIV/0!</v>
      </c>
      <c r="DH97" s="433" t="e">
        <f>(Tabla24105[[#This Row],[Columna4]]*DH$56/$CT$56)*$DB$55</f>
        <v>#DIV/0!</v>
      </c>
      <c r="DI97" s="433" t="e">
        <f>(Tabla24105[[#This Row],[Columna4]]*DI$56/$CT$56)*$DB$55</f>
        <v>#DIV/0!</v>
      </c>
      <c r="DJ97" s="433" t="e">
        <f>(Tabla24105[[#This Row],[Columna4]]*DJ$56/$CT$56)*$DB$55</f>
        <v>#DIV/0!</v>
      </c>
      <c r="DK97" s="433" t="e">
        <f>(Tabla24105[[#This Row],[Columna4]]*DK$56/$CT$56)*$DB$55</f>
        <v>#DIV/0!</v>
      </c>
      <c r="DL97" s="433" t="e">
        <f>(Tabla24105[[#This Row],[Columna4]]*DL$56/$CT$56)*$DB$55</f>
        <v>#DIV/0!</v>
      </c>
      <c r="DM97" s="433" t="e">
        <f>(Tabla24105[[#This Row],[Columna4]]*DM$56/$CT$56)*$DB$55</f>
        <v>#DIV/0!</v>
      </c>
      <c r="DN97" s="433" t="e">
        <f>(Tabla24105[[#This Row],[Columna4]]*DN$56/$CT$56)*$DB$55</f>
        <v>#DIV/0!</v>
      </c>
      <c r="DP97" s="529"/>
      <c r="DQ97" s="529"/>
      <c r="DR97" s="414" t="e">
        <f>$AS$94</f>
        <v>#DIV/0!</v>
      </c>
      <c r="DS97" s="242" t="str">
        <f>Tabla24[[#This Row],[Columna1]]</f>
        <v>C39</v>
      </c>
      <c r="DT97" s="433" t="e">
        <f>Tabla241057[[#This Row],[Columna3]]/7</f>
        <v>#DIV/0!</v>
      </c>
      <c r="DU97" s="433" t="e">
        <f>Tabla241057[[#This Row],[Columna4]]/4.2</f>
        <v>#DIV/0!</v>
      </c>
      <c r="DV97" s="433" t="e">
        <f>Tabla24105[[#This Row],[Columna16]]</f>
        <v>#DIV/0!</v>
      </c>
      <c r="DW97" s="433" t="e">
        <f>(Tabla241057[[#This Row],[Columna4]]*DW$56/$DN$56)*$DV$55</f>
        <v>#DIV/0!</v>
      </c>
      <c r="DX97" s="433" t="e">
        <f>(Tabla241057[[#This Row],[Columna4]]*DX$56/$DN$56)*$DV$55</f>
        <v>#DIV/0!</v>
      </c>
      <c r="DY97" s="433" t="e">
        <f>(Tabla241057[[#This Row],[Columna4]]*DY$56/$DN$56)*$DV$55</f>
        <v>#DIV/0!</v>
      </c>
      <c r="DZ97" s="433" t="e">
        <f>(Tabla241057[[#This Row],[Columna4]]*DZ$56/$DN$56)*$DV$55</f>
        <v>#DIV/0!</v>
      </c>
      <c r="EA97" s="433" t="e">
        <f>(Tabla241057[[#This Row],[Columna4]]*EA$56/$DN$56)*$DV$55</f>
        <v>#DIV/0!</v>
      </c>
      <c r="EB97" s="433" t="e">
        <f>(Tabla241057[[#This Row],[Columna4]]*EB$56/$DN$56)*$DV$55</f>
        <v>#DIV/0!</v>
      </c>
      <c r="EC97" s="433" t="e">
        <f>(Tabla241057[[#This Row],[Columna4]]*EC$56/$DN$56)*$DV$55</f>
        <v>#DIV/0!</v>
      </c>
      <c r="ED97" s="433" t="e">
        <f>(Tabla241057[[#This Row],[Columna4]]*ED$56/$DN$56)*$DV$55</f>
        <v>#DIV/0!</v>
      </c>
      <c r="EE97" s="433" t="e">
        <f>(Tabla241057[[#This Row],[Columna4]]*EE$56/$DN$56)*$DV$55</f>
        <v>#DIV/0!</v>
      </c>
      <c r="EF97" s="433" t="e">
        <f>(Tabla241057[[#This Row],[Columna4]]*EF$56/$DN$56)*$DV$55</f>
        <v>#DIV/0!</v>
      </c>
      <c r="EG97" s="433" t="e">
        <f>(Tabla241057[[#This Row],[Columna4]]*EG$56/$DN$56)*$DV$55</f>
        <v>#DIV/0!</v>
      </c>
      <c r="EH97" s="433" t="e">
        <f>(Tabla241057[[#This Row],[Columna4]]*EH$56/$DN$56)*$DV$55</f>
        <v>#DIV/0!</v>
      </c>
      <c r="EJ97" s="529"/>
      <c r="EK97" s="529"/>
      <c r="EL97" s="414" t="e">
        <f>$AS$94</f>
        <v>#DIV/0!</v>
      </c>
      <c r="EM97" s="242" t="str">
        <f>Tabla24[[#This Row],[Columna1]]</f>
        <v>C39</v>
      </c>
      <c r="EN97" s="433" t="e">
        <f>Tabla24105711[[#This Row],[Columna3]]/7</f>
        <v>#DIV/0!</v>
      </c>
      <c r="EO97" s="433" t="e">
        <f>Tabla24105711[[#This Row],[Columna4]]/4.2</f>
        <v>#DIV/0!</v>
      </c>
      <c r="EP97" s="433" t="e">
        <f>Tabla241057[[#This Row],[Columna16]]</f>
        <v>#DIV/0!</v>
      </c>
      <c r="EQ97" s="433" t="e">
        <f>(Tabla24105711[[#This Row],[Columna4]]*EQ$56/$EH$56)*$EP$55</f>
        <v>#DIV/0!</v>
      </c>
      <c r="ER97" s="433" t="e">
        <f>(Tabla24105711[[#This Row],[Columna4]]*ER$56/$EH$56)*$EP$55</f>
        <v>#DIV/0!</v>
      </c>
      <c r="ES97" s="433" t="e">
        <f>(Tabla24105711[[#This Row],[Columna4]]*ES$56/$EH$56)*$EP$55</f>
        <v>#DIV/0!</v>
      </c>
      <c r="ET97" s="433" t="e">
        <f>(Tabla24105711[[#This Row],[Columna4]]*ET$56/$EH$56)*$EP$55</f>
        <v>#DIV/0!</v>
      </c>
      <c r="EU97" s="433" t="e">
        <f>(Tabla24105711[[#This Row],[Columna4]]*EU$56/$EH$56)*$EP$55</f>
        <v>#DIV/0!</v>
      </c>
      <c r="EV97" s="433" t="e">
        <f>(Tabla24105711[[#This Row],[Columna4]]*EV$56/$EH$56)*$EP$55</f>
        <v>#DIV/0!</v>
      </c>
      <c r="EW97" s="433" t="e">
        <f>(Tabla24105711[[#This Row],[Columna4]]*EW$56/$EH$56)*$EP$55</f>
        <v>#DIV/0!</v>
      </c>
      <c r="EX97" s="433" t="e">
        <f>(Tabla24105711[[#This Row],[Columna4]]*EX$56/$EH$56)*$EP$55</f>
        <v>#DIV/0!</v>
      </c>
      <c r="EY97" s="433" t="e">
        <f>(Tabla24105711[[#This Row],[Columna4]]*EY$56/$EH$56)*$EP$55</f>
        <v>#DIV/0!</v>
      </c>
      <c r="EZ97" s="433" t="e">
        <f>(Tabla24105711[[#This Row],[Columna4]]*EZ$56/$EH$56)*$EP$55</f>
        <v>#DIV/0!</v>
      </c>
      <c r="FA97" s="433" t="e">
        <f>(Tabla24105711[[#This Row],[Columna4]]*FA$56/$EH$56)*$EP$55</f>
        <v>#DIV/0!</v>
      </c>
      <c r="FB97" s="433" t="e">
        <f>(Tabla24105711[[#This Row],[Columna4]]*FB$56/$EH$56)*$EP$55</f>
        <v>#DIV/0!</v>
      </c>
      <c r="FD97" s="397" t="s">
        <v>147</v>
      </c>
      <c r="FE97" s="399" t="s">
        <v>52</v>
      </c>
      <c r="FF97" s="400">
        <f t="shared" si="322"/>
        <v>0</v>
      </c>
      <c r="FG97" s="400">
        <f t="shared" si="322"/>
        <v>0</v>
      </c>
      <c r="FH97" s="400">
        <f t="shared" si="322"/>
        <v>0</v>
      </c>
      <c r="FI97" s="400">
        <f t="shared" si="322"/>
        <v>0</v>
      </c>
      <c r="FJ97" s="400">
        <f t="shared" si="322"/>
        <v>0</v>
      </c>
      <c r="FK97" s="400">
        <f t="shared" si="322"/>
        <v>0</v>
      </c>
      <c r="FL97" s="400">
        <f t="shared" si="322"/>
        <v>0</v>
      </c>
      <c r="FM97" s="400">
        <f t="shared" si="322"/>
        <v>0</v>
      </c>
      <c r="FN97" s="400">
        <f t="shared" si="322"/>
        <v>0</v>
      </c>
      <c r="FO97" s="400">
        <f t="shared" si="322"/>
        <v>0</v>
      </c>
      <c r="FP97" s="400">
        <f t="shared" si="322"/>
        <v>0</v>
      </c>
      <c r="FQ97" s="400">
        <f t="shared" si="322"/>
        <v>0</v>
      </c>
      <c r="FR97" s="363">
        <f t="shared" si="197"/>
        <v>0</v>
      </c>
      <c r="FS97" s="260" t="e">
        <f t="shared" ref="FS97:FS164" si="323">FR97/$FR$6</f>
        <v>#DIV/0!</v>
      </c>
      <c r="FV97" s="259"/>
      <c r="GC97" s="245"/>
      <c r="GD97" s="246">
        <v>0</v>
      </c>
      <c r="GE97" s="247" t="str">
        <f>IF(GD97=0%,"No Incluido","Adaptado")</f>
        <v>No Incluido</v>
      </c>
      <c r="GF97" s="248"/>
      <c r="GG97" s="245" t="s">
        <v>433</v>
      </c>
      <c r="GH97" s="246">
        <v>0</v>
      </c>
      <c r="GI97" s="247" t="str">
        <f>IF(GH97=0%,"No Incluido","Adaptado")</f>
        <v>No Incluido</v>
      </c>
      <c r="GJ97" s="262"/>
      <c r="HD97" s="57" t="s">
        <v>564</v>
      </c>
      <c r="HE97" s="80"/>
      <c r="HF97" s="77"/>
      <c r="HG97" s="78"/>
      <c r="HH97" s="79"/>
      <c r="HI97" s="51"/>
    </row>
    <row r="98" spans="39:217" ht="14.4" customHeight="1" x14ac:dyDescent="0.3">
      <c r="AM98" s="412">
        <f t="shared" si="270"/>
        <v>0</v>
      </c>
      <c r="AN98" s="412">
        <f t="shared" si="271"/>
        <v>0</v>
      </c>
      <c r="AO98" s="412">
        <f t="shared" si="272"/>
        <v>0</v>
      </c>
      <c r="AP98" s="412">
        <f t="shared" si="273"/>
        <v>0</v>
      </c>
      <c r="AQ98" s="413" t="s">
        <v>846</v>
      </c>
      <c r="AR98" s="297">
        <f t="shared" si="274"/>
        <v>0</v>
      </c>
      <c r="AS98" s="414" t="e">
        <f t="shared" si="267"/>
        <v>#DIV/0!</v>
      </c>
      <c r="AT98" s="529"/>
      <c r="AU98" s="529"/>
      <c r="AV98" s="299">
        <v>0</v>
      </c>
      <c r="AW98" s="300">
        <v>0</v>
      </c>
      <c r="AX98" s="301"/>
      <c r="BH98" s="529"/>
      <c r="BI98" s="529"/>
      <c r="BJ98" s="414" t="e">
        <f>$AS$95</f>
        <v>#DIV/0!</v>
      </c>
      <c r="BK98" s="242" t="str">
        <f t="shared" si="277"/>
        <v>C40</v>
      </c>
      <c r="BL98" s="433">
        <f>Tabla24[[#This Row],[Columna3]]/7</f>
        <v>0</v>
      </c>
      <c r="BM98" s="433">
        <f>Tabla24[[#This Row],[Columna4]]/4.2</f>
        <v>0</v>
      </c>
      <c r="BN98" s="433">
        <f t="shared" si="278"/>
        <v>0</v>
      </c>
      <c r="BO98" s="433">
        <f t="shared" si="279"/>
        <v>0</v>
      </c>
      <c r="BP98" s="433">
        <f t="shared" si="280"/>
        <v>0</v>
      </c>
      <c r="BQ98" s="433">
        <f t="shared" si="281"/>
        <v>0</v>
      </c>
      <c r="BR98" s="433">
        <f t="shared" si="282"/>
        <v>0</v>
      </c>
      <c r="BS98" s="433">
        <f t="shared" si="283"/>
        <v>0</v>
      </c>
      <c r="BT98" s="433">
        <f t="shared" si="284"/>
        <v>0</v>
      </c>
      <c r="BU98" s="433">
        <f t="shared" si="285"/>
        <v>0</v>
      </c>
      <c r="BV98" s="433">
        <f t="shared" si="286"/>
        <v>0</v>
      </c>
      <c r="BW98" s="433">
        <f t="shared" si="287"/>
        <v>0</v>
      </c>
      <c r="BX98" s="433">
        <f t="shared" si="288"/>
        <v>0</v>
      </c>
      <c r="BY98" s="433">
        <f t="shared" si="289"/>
        <v>0</v>
      </c>
      <c r="BZ98" s="433">
        <f t="shared" si="290"/>
        <v>0</v>
      </c>
      <c r="CB98" s="529"/>
      <c r="CC98" s="529"/>
      <c r="CD98" s="414" t="e">
        <f>$AS$95</f>
        <v>#DIV/0!</v>
      </c>
      <c r="CE98" s="242" t="str">
        <f>Tabla24[[#This Row],[Columna1]]</f>
        <v>C40</v>
      </c>
      <c r="CF98" s="433">
        <f>Tabla2410[[#This Row],[Columna3]]/7</f>
        <v>0</v>
      </c>
      <c r="CG98" s="433">
        <f>Tabla2410[[#This Row],[Columna4]]/4.2</f>
        <v>0</v>
      </c>
      <c r="CH98" s="433">
        <f>Tabla24[[#This Row],[Columna16]]</f>
        <v>0</v>
      </c>
      <c r="CI98" s="433" t="e">
        <f>(Tabla2410[[#This Row],[Columna4]]*CI$56/$BZ$56)*$CH$55</f>
        <v>#DIV/0!</v>
      </c>
      <c r="CJ98" s="433" t="e">
        <f>(Tabla2410[[#This Row],[Columna4]]*CJ$56/$BZ$56)*$CH$55</f>
        <v>#DIV/0!</v>
      </c>
      <c r="CK98" s="433" t="e">
        <f>(Tabla2410[[#This Row],[Columna4]]*CK$56/$BZ$56)*$CH$55</f>
        <v>#DIV/0!</v>
      </c>
      <c r="CL98" s="433" t="e">
        <f>(Tabla2410[[#This Row],[Columna4]]*CL$56/$BZ$56)*$CH$55</f>
        <v>#DIV/0!</v>
      </c>
      <c r="CM98" s="433" t="e">
        <f>(Tabla2410[[#This Row],[Columna4]]*CM$56/$BZ$56)*$CH$55</f>
        <v>#DIV/0!</v>
      </c>
      <c r="CN98" s="433" t="e">
        <f>(Tabla2410[[#This Row],[Columna4]]*CN$56/$BZ$56)*$CH$55</f>
        <v>#DIV/0!</v>
      </c>
      <c r="CO98" s="433" t="e">
        <f>(Tabla2410[[#This Row],[Columna4]]*CO$56/$BZ$56)*$CH$55</f>
        <v>#DIV/0!</v>
      </c>
      <c r="CP98" s="433" t="e">
        <f>(Tabla2410[[#This Row],[Columna4]]*CP$56/$BZ$56)*$CH$55</f>
        <v>#DIV/0!</v>
      </c>
      <c r="CQ98" s="433" t="e">
        <f>(Tabla2410[[#This Row],[Columna4]]*CQ$56/$BZ$56)*$CH$55</f>
        <v>#DIV/0!</v>
      </c>
      <c r="CR98" s="433" t="e">
        <f>(Tabla2410[[#This Row],[Columna4]]*CR$56/$BZ$56)*$CH$55</f>
        <v>#DIV/0!</v>
      </c>
      <c r="CS98" s="433" t="e">
        <f>(Tabla2410[[#This Row],[Columna4]]*CS$56/$BZ$56)*$CH$55</f>
        <v>#DIV/0!</v>
      </c>
      <c r="CT98" s="433" t="e">
        <f>(Tabla2410[[#This Row],[Columna4]]*CT$56/$BZ$56)*$CH$55</f>
        <v>#DIV/0!</v>
      </c>
      <c r="CV98" s="529"/>
      <c r="CW98" s="529"/>
      <c r="CX98" s="414" t="e">
        <f>$AS$95</f>
        <v>#DIV/0!</v>
      </c>
      <c r="CY98" s="242" t="str">
        <f>Tabla24[[#This Row],[Columna1]]</f>
        <v>C40</v>
      </c>
      <c r="CZ98" s="433" t="e">
        <f>Tabla24105[[#This Row],[Columna3]]/7</f>
        <v>#DIV/0!</v>
      </c>
      <c r="DA98" s="433" t="e">
        <f>Tabla24105[[#This Row],[Columna4]]/4.2</f>
        <v>#DIV/0!</v>
      </c>
      <c r="DB98" s="433" t="e">
        <f>Tabla2410[[#This Row],[Columna16]]</f>
        <v>#DIV/0!</v>
      </c>
      <c r="DC98" s="433" t="e">
        <f>(Tabla24105[[#This Row],[Columna4]]*DC$56/$CT$56)*$DB$55</f>
        <v>#DIV/0!</v>
      </c>
      <c r="DD98" s="433" t="e">
        <f>(Tabla24105[[#This Row],[Columna4]]*DD$56/$CT$56)*$DB$55</f>
        <v>#DIV/0!</v>
      </c>
      <c r="DE98" s="433" t="e">
        <f>(Tabla24105[[#This Row],[Columna4]]*DE$56/$CT$56)*$DB$55</f>
        <v>#DIV/0!</v>
      </c>
      <c r="DF98" s="433" t="e">
        <f>(Tabla24105[[#This Row],[Columna4]]*DF$56/$CT$56)*$DB$55</f>
        <v>#DIV/0!</v>
      </c>
      <c r="DG98" s="433" t="e">
        <f>(Tabla24105[[#This Row],[Columna4]]*DG$56/$CT$56)*$DB$55</f>
        <v>#DIV/0!</v>
      </c>
      <c r="DH98" s="433" t="e">
        <f>(Tabla24105[[#This Row],[Columna4]]*DH$56/$CT$56)*$DB$55</f>
        <v>#DIV/0!</v>
      </c>
      <c r="DI98" s="433" t="e">
        <f>(Tabla24105[[#This Row],[Columna4]]*DI$56/$CT$56)*$DB$55</f>
        <v>#DIV/0!</v>
      </c>
      <c r="DJ98" s="433" t="e">
        <f>(Tabla24105[[#This Row],[Columna4]]*DJ$56/$CT$56)*$DB$55</f>
        <v>#DIV/0!</v>
      </c>
      <c r="DK98" s="433" t="e">
        <f>(Tabla24105[[#This Row],[Columna4]]*DK$56/$CT$56)*$DB$55</f>
        <v>#DIV/0!</v>
      </c>
      <c r="DL98" s="433" t="e">
        <f>(Tabla24105[[#This Row],[Columna4]]*DL$56/$CT$56)*$DB$55</f>
        <v>#DIV/0!</v>
      </c>
      <c r="DM98" s="433" t="e">
        <f>(Tabla24105[[#This Row],[Columna4]]*DM$56/$CT$56)*$DB$55</f>
        <v>#DIV/0!</v>
      </c>
      <c r="DN98" s="433" t="e">
        <f>(Tabla24105[[#This Row],[Columna4]]*DN$56/$CT$56)*$DB$55</f>
        <v>#DIV/0!</v>
      </c>
      <c r="DP98" s="529"/>
      <c r="DQ98" s="529"/>
      <c r="DR98" s="414" t="e">
        <f>$AS$95</f>
        <v>#DIV/0!</v>
      </c>
      <c r="DS98" s="242" t="str">
        <f>Tabla24[[#This Row],[Columna1]]</f>
        <v>C40</v>
      </c>
      <c r="DT98" s="433" t="e">
        <f>Tabla241057[[#This Row],[Columna3]]/7</f>
        <v>#DIV/0!</v>
      </c>
      <c r="DU98" s="433" t="e">
        <f>Tabla241057[[#This Row],[Columna4]]/4.2</f>
        <v>#DIV/0!</v>
      </c>
      <c r="DV98" s="433" t="e">
        <f>Tabla24105[[#This Row],[Columna16]]</f>
        <v>#DIV/0!</v>
      </c>
      <c r="DW98" s="433" t="e">
        <f>(Tabla241057[[#This Row],[Columna4]]*DW$56/$DN$56)*$DV$55</f>
        <v>#DIV/0!</v>
      </c>
      <c r="DX98" s="433" t="e">
        <f>(Tabla241057[[#This Row],[Columna4]]*DX$56/$DN$56)*$DV$55</f>
        <v>#DIV/0!</v>
      </c>
      <c r="DY98" s="433" t="e">
        <f>(Tabla241057[[#This Row],[Columna4]]*DY$56/$DN$56)*$DV$55</f>
        <v>#DIV/0!</v>
      </c>
      <c r="DZ98" s="433" t="e">
        <f>(Tabla241057[[#This Row],[Columna4]]*DZ$56/$DN$56)*$DV$55</f>
        <v>#DIV/0!</v>
      </c>
      <c r="EA98" s="433" t="e">
        <f>(Tabla241057[[#This Row],[Columna4]]*EA$56/$DN$56)*$DV$55</f>
        <v>#DIV/0!</v>
      </c>
      <c r="EB98" s="433" t="e">
        <f>(Tabla241057[[#This Row],[Columna4]]*EB$56/$DN$56)*$DV$55</f>
        <v>#DIV/0!</v>
      </c>
      <c r="EC98" s="433" t="e">
        <f>(Tabla241057[[#This Row],[Columna4]]*EC$56/$DN$56)*$DV$55</f>
        <v>#DIV/0!</v>
      </c>
      <c r="ED98" s="433" t="e">
        <f>(Tabla241057[[#This Row],[Columna4]]*ED$56/$DN$56)*$DV$55</f>
        <v>#DIV/0!</v>
      </c>
      <c r="EE98" s="433" t="e">
        <f>(Tabla241057[[#This Row],[Columna4]]*EE$56/$DN$56)*$DV$55</f>
        <v>#DIV/0!</v>
      </c>
      <c r="EF98" s="433" t="e">
        <f>(Tabla241057[[#This Row],[Columna4]]*EF$56/$DN$56)*$DV$55</f>
        <v>#DIV/0!</v>
      </c>
      <c r="EG98" s="433" t="e">
        <f>(Tabla241057[[#This Row],[Columna4]]*EG$56/$DN$56)*$DV$55</f>
        <v>#DIV/0!</v>
      </c>
      <c r="EH98" s="433" t="e">
        <f>(Tabla241057[[#This Row],[Columna4]]*EH$56/$DN$56)*$DV$55</f>
        <v>#DIV/0!</v>
      </c>
      <c r="EJ98" s="529"/>
      <c r="EK98" s="529"/>
      <c r="EL98" s="414" t="e">
        <f>$AS$95</f>
        <v>#DIV/0!</v>
      </c>
      <c r="EM98" s="242" t="str">
        <f>Tabla24[[#This Row],[Columna1]]</f>
        <v>C40</v>
      </c>
      <c r="EN98" s="433" t="e">
        <f>Tabla24105711[[#This Row],[Columna3]]/7</f>
        <v>#DIV/0!</v>
      </c>
      <c r="EO98" s="433" t="e">
        <f>Tabla24105711[[#This Row],[Columna4]]/4.2</f>
        <v>#DIV/0!</v>
      </c>
      <c r="EP98" s="433" t="e">
        <f>Tabla241057[[#This Row],[Columna16]]</f>
        <v>#DIV/0!</v>
      </c>
      <c r="EQ98" s="433" t="e">
        <f>(Tabla24105711[[#This Row],[Columna4]]*EQ$56/$EH$56)*$EP$55</f>
        <v>#DIV/0!</v>
      </c>
      <c r="ER98" s="433" t="e">
        <f>(Tabla24105711[[#This Row],[Columna4]]*ER$56/$EH$56)*$EP$55</f>
        <v>#DIV/0!</v>
      </c>
      <c r="ES98" s="433" t="e">
        <f>(Tabla24105711[[#This Row],[Columna4]]*ES$56/$EH$56)*$EP$55</f>
        <v>#DIV/0!</v>
      </c>
      <c r="ET98" s="433" t="e">
        <f>(Tabla24105711[[#This Row],[Columna4]]*ET$56/$EH$56)*$EP$55</f>
        <v>#DIV/0!</v>
      </c>
      <c r="EU98" s="433" t="e">
        <f>(Tabla24105711[[#This Row],[Columna4]]*EU$56/$EH$56)*$EP$55</f>
        <v>#DIV/0!</v>
      </c>
      <c r="EV98" s="433" t="e">
        <f>(Tabla24105711[[#This Row],[Columna4]]*EV$56/$EH$56)*$EP$55</f>
        <v>#DIV/0!</v>
      </c>
      <c r="EW98" s="433" t="e">
        <f>(Tabla24105711[[#This Row],[Columna4]]*EW$56/$EH$56)*$EP$55</f>
        <v>#DIV/0!</v>
      </c>
      <c r="EX98" s="433" t="e">
        <f>(Tabla24105711[[#This Row],[Columna4]]*EX$56/$EH$56)*$EP$55</f>
        <v>#DIV/0!</v>
      </c>
      <c r="EY98" s="433" t="e">
        <f>(Tabla24105711[[#This Row],[Columna4]]*EY$56/$EH$56)*$EP$55</f>
        <v>#DIV/0!</v>
      </c>
      <c r="EZ98" s="433" t="e">
        <f>(Tabla24105711[[#This Row],[Columna4]]*EZ$56/$EH$56)*$EP$55</f>
        <v>#DIV/0!</v>
      </c>
      <c r="FA98" s="433" t="e">
        <f>(Tabla24105711[[#This Row],[Columna4]]*FA$56/$EH$56)*$EP$55</f>
        <v>#DIV/0!</v>
      </c>
      <c r="FB98" s="433" t="e">
        <f>(Tabla24105711[[#This Row],[Columna4]]*FB$56/$EH$56)*$EP$55</f>
        <v>#DIV/0!</v>
      </c>
      <c r="FD98" s="429" t="s">
        <v>149</v>
      </c>
      <c r="FE98" s="357" t="s">
        <v>146</v>
      </c>
      <c r="FF98" s="325">
        <v>0</v>
      </c>
      <c r="FG98" s="325">
        <v>0</v>
      </c>
      <c r="FH98" s="325">
        <v>0</v>
      </c>
      <c r="FI98" s="325">
        <v>0</v>
      </c>
      <c r="FJ98" s="325">
        <v>0</v>
      </c>
      <c r="FK98" s="325">
        <v>0</v>
      </c>
      <c r="FL98" s="325">
        <v>0</v>
      </c>
      <c r="FM98" s="325">
        <v>0</v>
      </c>
      <c r="FN98" s="325">
        <v>0</v>
      </c>
      <c r="FO98" s="325">
        <v>0</v>
      </c>
      <c r="FP98" s="325">
        <v>0</v>
      </c>
      <c r="FQ98" s="325">
        <v>0</v>
      </c>
      <c r="FR98" s="309">
        <f t="shared" si="197"/>
        <v>0</v>
      </c>
      <c r="FS98" s="260" t="e">
        <f t="shared" si="323"/>
        <v>#DIV/0!</v>
      </c>
      <c r="FV98" s="275" t="s">
        <v>1</v>
      </c>
      <c r="FW98" s="276" t="s">
        <v>2</v>
      </c>
      <c r="FX98" s="276" t="s">
        <v>3</v>
      </c>
      <c r="FY98" s="276" t="s">
        <v>4</v>
      </c>
      <c r="FZ98" s="276" t="s">
        <v>5</v>
      </c>
      <c r="GA98" s="276" t="s">
        <v>6</v>
      </c>
      <c r="GB98" s="276" t="s">
        <v>7</v>
      </c>
      <c r="GC98" s="276" t="s">
        <v>8</v>
      </c>
      <c r="GD98" s="276" t="s">
        <v>9</v>
      </c>
      <c r="GE98" s="276" t="s">
        <v>10</v>
      </c>
      <c r="GF98" s="276" t="s">
        <v>11</v>
      </c>
      <c r="GG98" s="279" t="s">
        <v>12</v>
      </c>
      <c r="GH98" s="276" t="s">
        <v>13</v>
      </c>
      <c r="GI98" s="277" t="s">
        <v>14</v>
      </c>
      <c r="GJ98" s="280"/>
      <c r="HD98" s="70" t="s">
        <v>551</v>
      </c>
      <c r="HE98" s="81">
        <f>SUM(HE91:HE96)</f>
        <v>0</v>
      </c>
      <c r="HF98" s="77"/>
      <c r="HG98" s="78"/>
      <c r="HH98" s="79"/>
      <c r="HI98" s="51"/>
    </row>
    <row r="99" spans="39:217" ht="14.4" customHeight="1" x14ac:dyDescent="0.3">
      <c r="AR99" s="422">
        <f t="shared" ref="AR99" si="324">SUM(AR56:AR98)</f>
        <v>0</v>
      </c>
      <c r="AS99" s="423" t="e">
        <f t="shared" si="267"/>
        <v>#DIV/0!</v>
      </c>
      <c r="AT99" s="424"/>
      <c r="AU99" s="424"/>
      <c r="AV99" s="422"/>
      <c r="BH99" s="529"/>
      <c r="BI99" s="529"/>
      <c r="BJ99" s="414" t="e">
        <f>$AS$96</f>
        <v>#DIV/0!</v>
      </c>
      <c r="BK99" s="242" t="str">
        <f t="shared" si="277"/>
        <v>C41</v>
      </c>
      <c r="BL99" s="433">
        <f>Tabla24[[#This Row],[Columna3]]/7</f>
        <v>0</v>
      </c>
      <c r="BM99" s="433">
        <f>Tabla24[[#This Row],[Columna4]]/4.2</f>
        <v>0</v>
      </c>
      <c r="BN99" s="433">
        <f t="shared" si="278"/>
        <v>0</v>
      </c>
      <c r="BO99" s="433">
        <f t="shared" si="279"/>
        <v>0</v>
      </c>
      <c r="BP99" s="433">
        <f t="shared" si="280"/>
        <v>0</v>
      </c>
      <c r="BQ99" s="433">
        <f t="shared" si="281"/>
        <v>0</v>
      </c>
      <c r="BR99" s="433">
        <f t="shared" si="282"/>
        <v>0</v>
      </c>
      <c r="BS99" s="433">
        <f t="shared" si="283"/>
        <v>0</v>
      </c>
      <c r="BT99" s="433">
        <f t="shared" si="284"/>
        <v>0</v>
      </c>
      <c r="BU99" s="433">
        <f t="shared" si="285"/>
        <v>0</v>
      </c>
      <c r="BV99" s="433">
        <f t="shared" si="286"/>
        <v>0</v>
      </c>
      <c r="BW99" s="433">
        <f t="shared" si="287"/>
        <v>0</v>
      </c>
      <c r="BX99" s="433">
        <f t="shared" si="288"/>
        <v>0</v>
      </c>
      <c r="BY99" s="433">
        <f t="shared" si="289"/>
        <v>0</v>
      </c>
      <c r="BZ99" s="433">
        <f t="shared" si="290"/>
        <v>0</v>
      </c>
      <c r="CB99" s="529"/>
      <c r="CC99" s="529"/>
      <c r="CD99" s="414" t="e">
        <f>$AS$96</f>
        <v>#DIV/0!</v>
      </c>
      <c r="CE99" s="242" t="str">
        <f>Tabla24[[#This Row],[Columna1]]</f>
        <v>C41</v>
      </c>
      <c r="CF99" s="433">
        <f>Tabla2410[[#This Row],[Columna3]]/7</f>
        <v>0</v>
      </c>
      <c r="CG99" s="433">
        <f>Tabla2410[[#This Row],[Columna4]]/4.2</f>
        <v>0</v>
      </c>
      <c r="CH99" s="433">
        <f>Tabla24[[#This Row],[Columna16]]</f>
        <v>0</v>
      </c>
      <c r="CI99" s="433" t="e">
        <f>(Tabla2410[[#This Row],[Columna4]]*CI$56/$BZ$56)*$CH$55</f>
        <v>#DIV/0!</v>
      </c>
      <c r="CJ99" s="433" t="e">
        <f>(Tabla2410[[#This Row],[Columna4]]*CJ$56/$BZ$56)*$CH$55</f>
        <v>#DIV/0!</v>
      </c>
      <c r="CK99" s="433" t="e">
        <f>(Tabla2410[[#This Row],[Columna4]]*CK$56/$BZ$56)*$CH$55</f>
        <v>#DIV/0!</v>
      </c>
      <c r="CL99" s="433" t="e">
        <f>(Tabla2410[[#This Row],[Columna4]]*CL$56/$BZ$56)*$CH$55</f>
        <v>#DIV/0!</v>
      </c>
      <c r="CM99" s="433" t="e">
        <f>(Tabla2410[[#This Row],[Columna4]]*CM$56/$BZ$56)*$CH$55</f>
        <v>#DIV/0!</v>
      </c>
      <c r="CN99" s="433" t="e">
        <f>(Tabla2410[[#This Row],[Columna4]]*CN$56/$BZ$56)*$CH$55</f>
        <v>#DIV/0!</v>
      </c>
      <c r="CO99" s="433" t="e">
        <f>(Tabla2410[[#This Row],[Columna4]]*CO$56/$BZ$56)*$CH$55</f>
        <v>#DIV/0!</v>
      </c>
      <c r="CP99" s="433" t="e">
        <f>(Tabla2410[[#This Row],[Columna4]]*CP$56/$BZ$56)*$CH$55</f>
        <v>#DIV/0!</v>
      </c>
      <c r="CQ99" s="433" t="e">
        <f>(Tabla2410[[#This Row],[Columna4]]*CQ$56/$BZ$56)*$CH$55</f>
        <v>#DIV/0!</v>
      </c>
      <c r="CR99" s="433" t="e">
        <f>(Tabla2410[[#This Row],[Columna4]]*CR$56/$BZ$56)*$CH$55</f>
        <v>#DIV/0!</v>
      </c>
      <c r="CS99" s="433" t="e">
        <f>(Tabla2410[[#This Row],[Columna4]]*CS$56/$BZ$56)*$CH$55</f>
        <v>#DIV/0!</v>
      </c>
      <c r="CT99" s="433" t="e">
        <f>(Tabla2410[[#This Row],[Columna4]]*CT$56/$BZ$56)*$CH$55</f>
        <v>#DIV/0!</v>
      </c>
      <c r="CV99" s="529"/>
      <c r="CW99" s="529"/>
      <c r="CX99" s="414" t="e">
        <f>$AS$96</f>
        <v>#DIV/0!</v>
      </c>
      <c r="CY99" s="242" t="str">
        <f>Tabla24[[#This Row],[Columna1]]</f>
        <v>C41</v>
      </c>
      <c r="CZ99" s="433" t="e">
        <f>Tabla24105[[#This Row],[Columna3]]/7</f>
        <v>#DIV/0!</v>
      </c>
      <c r="DA99" s="433" t="e">
        <f>Tabla24105[[#This Row],[Columna4]]/4.2</f>
        <v>#DIV/0!</v>
      </c>
      <c r="DB99" s="433" t="e">
        <f>Tabla2410[[#This Row],[Columna16]]</f>
        <v>#DIV/0!</v>
      </c>
      <c r="DC99" s="433" t="e">
        <f>(Tabla24105[[#This Row],[Columna4]]*DC$56/$CT$56)*$DB$55</f>
        <v>#DIV/0!</v>
      </c>
      <c r="DD99" s="433" t="e">
        <f>(Tabla24105[[#This Row],[Columna4]]*DD$56/$CT$56)*$DB$55</f>
        <v>#DIV/0!</v>
      </c>
      <c r="DE99" s="433" t="e">
        <f>(Tabla24105[[#This Row],[Columna4]]*DE$56/$CT$56)*$DB$55</f>
        <v>#DIV/0!</v>
      </c>
      <c r="DF99" s="433" t="e">
        <f>(Tabla24105[[#This Row],[Columna4]]*DF$56/$CT$56)*$DB$55</f>
        <v>#DIV/0!</v>
      </c>
      <c r="DG99" s="433" t="e">
        <f>(Tabla24105[[#This Row],[Columna4]]*DG$56/$CT$56)*$DB$55</f>
        <v>#DIV/0!</v>
      </c>
      <c r="DH99" s="433" t="e">
        <f>(Tabla24105[[#This Row],[Columna4]]*DH$56/$CT$56)*$DB$55</f>
        <v>#DIV/0!</v>
      </c>
      <c r="DI99" s="433" t="e">
        <f>(Tabla24105[[#This Row],[Columna4]]*DI$56/$CT$56)*$DB$55</f>
        <v>#DIV/0!</v>
      </c>
      <c r="DJ99" s="433" t="e">
        <f>(Tabla24105[[#This Row],[Columna4]]*DJ$56/$CT$56)*$DB$55</f>
        <v>#DIV/0!</v>
      </c>
      <c r="DK99" s="433" t="e">
        <f>(Tabla24105[[#This Row],[Columna4]]*DK$56/$CT$56)*$DB$55</f>
        <v>#DIV/0!</v>
      </c>
      <c r="DL99" s="433" t="e">
        <f>(Tabla24105[[#This Row],[Columna4]]*DL$56/$CT$56)*$DB$55</f>
        <v>#DIV/0!</v>
      </c>
      <c r="DM99" s="433" t="e">
        <f>(Tabla24105[[#This Row],[Columna4]]*DM$56/$CT$56)*$DB$55</f>
        <v>#DIV/0!</v>
      </c>
      <c r="DN99" s="433" t="e">
        <f>(Tabla24105[[#This Row],[Columna4]]*DN$56/$CT$56)*$DB$55</f>
        <v>#DIV/0!</v>
      </c>
      <c r="DP99" s="529"/>
      <c r="DQ99" s="529"/>
      <c r="DR99" s="414" t="e">
        <f>$AS$96</f>
        <v>#DIV/0!</v>
      </c>
      <c r="DS99" s="242" t="str">
        <f>Tabla24[[#This Row],[Columna1]]</f>
        <v>C41</v>
      </c>
      <c r="DT99" s="433" t="e">
        <f>Tabla241057[[#This Row],[Columna3]]/7</f>
        <v>#DIV/0!</v>
      </c>
      <c r="DU99" s="433" t="e">
        <f>Tabla241057[[#This Row],[Columna4]]/4.2</f>
        <v>#DIV/0!</v>
      </c>
      <c r="DV99" s="433" t="e">
        <f>Tabla24105[[#This Row],[Columna16]]</f>
        <v>#DIV/0!</v>
      </c>
      <c r="DW99" s="433" t="e">
        <f>(Tabla241057[[#This Row],[Columna4]]*DW$56/$DN$56)*$DV$55</f>
        <v>#DIV/0!</v>
      </c>
      <c r="DX99" s="433" t="e">
        <f>(Tabla241057[[#This Row],[Columna4]]*DX$56/$DN$56)*$DV$55</f>
        <v>#DIV/0!</v>
      </c>
      <c r="DY99" s="433" t="e">
        <f>(Tabla241057[[#This Row],[Columna4]]*DY$56/$DN$56)*$DV$55</f>
        <v>#DIV/0!</v>
      </c>
      <c r="DZ99" s="433" t="e">
        <f>(Tabla241057[[#This Row],[Columna4]]*DZ$56/$DN$56)*$DV$55</f>
        <v>#DIV/0!</v>
      </c>
      <c r="EA99" s="433" t="e">
        <f>(Tabla241057[[#This Row],[Columna4]]*EA$56/$DN$56)*$DV$55</f>
        <v>#DIV/0!</v>
      </c>
      <c r="EB99" s="433" t="e">
        <f>(Tabla241057[[#This Row],[Columna4]]*EB$56/$DN$56)*$DV$55</f>
        <v>#DIV/0!</v>
      </c>
      <c r="EC99" s="433" t="e">
        <f>(Tabla241057[[#This Row],[Columna4]]*EC$56/$DN$56)*$DV$55</f>
        <v>#DIV/0!</v>
      </c>
      <c r="ED99" s="433" t="e">
        <f>(Tabla241057[[#This Row],[Columna4]]*ED$56/$DN$56)*$DV$55</f>
        <v>#DIV/0!</v>
      </c>
      <c r="EE99" s="433" t="e">
        <f>(Tabla241057[[#This Row],[Columna4]]*EE$56/$DN$56)*$DV$55</f>
        <v>#DIV/0!</v>
      </c>
      <c r="EF99" s="433" t="e">
        <f>(Tabla241057[[#This Row],[Columna4]]*EF$56/$DN$56)*$DV$55</f>
        <v>#DIV/0!</v>
      </c>
      <c r="EG99" s="433" t="e">
        <f>(Tabla241057[[#This Row],[Columna4]]*EG$56/$DN$56)*$DV$55</f>
        <v>#DIV/0!</v>
      </c>
      <c r="EH99" s="433" t="e">
        <f>(Tabla241057[[#This Row],[Columna4]]*EH$56/$DN$56)*$DV$55</f>
        <v>#DIV/0!</v>
      </c>
      <c r="EJ99" s="529"/>
      <c r="EK99" s="529"/>
      <c r="EL99" s="414" t="e">
        <f>$AS$96</f>
        <v>#DIV/0!</v>
      </c>
      <c r="EM99" s="242" t="str">
        <f>Tabla24[[#This Row],[Columna1]]</f>
        <v>C41</v>
      </c>
      <c r="EN99" s="433" t="e">
        <f>Tabla24105711[[#This Row],[Columna3]]/7</f>
        <v>#DIV/0!</v>
      </c>
      <c r="EO99" s="433" t="e">
        <f>Tabla24105711[[#This Row],[Columna4]]/4.2</f>
        <v>#DIV/0!</v>
      </c>
      <c r="EP99" s="433" t="e">
        <f>Tabla241057[[#This Row],[Columna16]]</f>
        <v>#DIV/0!</v>
      </c>
      <c r="EQ99" s="433" t="e">
        <f>(Tabla24105711[[#This Row],[Columna4]]*EQ$56/$EH$56)*$EP$55</f>
        <v>#DIV/0!</v>
      </c>
      <c r="ER99" s="433" t="e">
        <f>(Tabla24105711[[#This Row],[Columna4]]*ER$56/$EH$56)*$EP$55</f>
        <v>#DIV/0!</v>
      </c>
      <c r="ES99" s="433" t="e">
        <f>(Tabla24105711[[#This Row],[Columna4]]*ES$56/$EH$56)*$EP$55</f>
        <v>#DIV/0!</v>
      </c>
      <c r="ET99" s="433" t="e">
        <f>(Tabla24105711[[#This Row],[Columna4]]*ET$56/$EH$56)*$EP$55</f>
        <v>#DIV/0!</v>
      </c>
      <c r="EU99" s="433" t="e">
        <f>(Tabla24105711[[#This Row],[Columna4]]*EU$56/$EH$56)*$EP$55</f>
        <v>#DIV/0!</v>
      </c>
      <c r="EV99" s="433" t="e">
        <f>(Tabla24105711[[#This Row],[Columna4]]*EV$56/$EH$56)*$EP$55</f>
        <v>#DIV/0!</v>
      </c>
      <c r="EW99" s="433" t="e">
        <f>(Tabla24105711[[#This Row],[Columna4]]*EW$56/$EH$56)*$EP$55</f>
        <v>#DIV/0!</v>
      </c>
      <c r="EX99" s="433" t="e">
        <f>(Tabla24105711[[#This Row],[Columna4]]*EX$56/$EH$56)*$EP$55</f>
        <v>#DIV/0!</v>
      </c>
      <c r="EY99" s="433" t="e">
        <f>(Tabla24105711[[#This Row],[Columna4]]*EY$56/$EH$56)*$EP$55</f>
        <v>#DIV/0!</v>
      </c>
      <c r="EZ99" s="433" t="e">
        <f>(Tabla24105711[[#This Row],[Columna4]]*EZ$56/$EH$56)*$EP$55</f>
        <v>#DIV/0!</v>
      </c>
      <c r="FA99" s="433" t="e">
        <f>(Tabla24105711[[#This Row],[Columna4]]*FA$56/$EH$56)*$EP$55</f>
        <v>#DIV/0!</v>
      </c>
      <c r="FB99" s="433" t="e">
        <f>(Tabla24105711[[#This Row],[Columna4]]*FB$56/$EH$56)*$EP$55</f>
        <v>#DIV/0!</v>
      </c>
      <c r="FD99" s="397" t="s">
        <v>151</v>
      </c>
      <c r="FE99" s="399" t="s">
        <v>148</v>
      </c>
      <c r="FF99" s="400">
        <f t="shared" ref="FF99:FQ99" si="325">+FF274/FF$376</f>
        <v>0</v>
      </c>
      <c r="FG99" s="400">
        <f t="shared" si="325"/>
        <v>0</v>
      </c>
      <c r="FH99" s="400">
        <f t="shared" si="325"/>
        <v>0</v>
      </c>
      <c r="FI99" s="400">
        <f t="shared" si="325"/>
        <v>0</v>
      </c>
      <c r="FJ99" s="400">
        <f t="shared" si="325"/>
        <v>0</v>
      </c>
      <c r="FK99" s="400">
        <f t="shared" si="325"/>
        <v>0</v>
      </c>
      <c r="FL99" s="400">
        <f t="shared" si="325"/>
        <v>0</v>
      </c>
      <c r="FM99" s="400">
        <f t="shared" si="325"/>
        <v>0</v>
      </c>
      <c r="FN99" s="400">
        <f t="shared" si="325"/>
        <v>0</v>
      </c>
      <c r="FO99" s="400">
        <f t="shared" si="325"/>
        <v>0</v>
      </c>
      <c r="FP99" s="400">
        <f t="shared" si="325"/>
        <v>0</v>
      </c>
      <c r="FQ99" s="400">
        <f t="shared" si="325"/>
        <v>0</v>
      </c>
      <c r="FR99" s="363">
        <f t="shared" si="197"/>
        <v>0</v>
      </c>
      <c r="FS99" s="260" t="e">
        <f t="shared" si="323"/>
        <v>#DIV/0!</v>
      </c>
      <c r="FV99" s="307" t="s">
        <v>445</v>
      </c>
      <c r="FW99" s="308" t="e">
        <f>$BD$22*(1+GH94+GH95)</f>
        <v>#DIV/0!</v>
      </c>
      <c r="FX99" s="308" t="e">
        <f>$BD$23*(1+GH94+GH95)</f>
        <v>#DIV/0!</v>
      </c>
      <c r="FY99" s="308" t="e">
        <f>$BD$24*(1+GH94+GH95)</f>
        <v>#DIV/0!</v>
      </c>
      <c r="FZ99" s="308" t="e">
        <f>$BD$25*(1+GH94+GH95)</f>
        <v>#DIV/0!</v>
      </c>
      <c r="GA99" s="308" t="e">
        <f>$BD$26*(1+GH94+GH95)</f>
        <v>#DIV/0!</v>
      </c>
      <c r="GB99" s="308" t="e">
        <f>$BD$27*(1+GH94+GH95)</f>
        <v>#DIV/0!</v>
      </c>
      <c r="GC99" s="308" t="e">
        <f>$BD$28*(1+GH94+GH95)</f>
        <v>#DIV/0!</v>
      </c>
      <c r="GD99" s="308" t="e">
        <f>$BD$29*(1+GH94+GH95)</f>
        <v>#DIV/0!</v>
      </c>
      <c r="GE99" s="308" t="e">
        <f>$BD$30*(1+GH94+GH95)</f>
        <v>#DIV/0!</v>
      </c>
      <c r="GF99" s="308" t="e">
        <f>$BD$31*(1+GH94+GH95)</f>
        <v>#DIV/0!</v>
      </c>
      <c r="GG99" s="308" t="e">
        <f>$BD$32*(1+GH94+GH95)</f>
        <v>#DIV/0!</v>
      </c>
      <c r="GH99" s="308" t="e">
        <f>$BD$33</f>
        <v>#DIV/0!</v>
      </c>
      <c r="GI99" s="309" t="e">
        <f>SUM(FW99:GH99)</f>
        <v>#DIV/0!</v>
      </c>
      <c r="GJ99" s="262" t="e">
        <f>GI99/$GI$6</f>
        <v>#DIV/0!</v>
      </c>
      <c r="HD99" s="52"/>
      <c r="HE99" s="87"/>
      <c r="HF99" s="88"/>
      <c r="HG99" s="78"/>
      <c r="HH99" s="79"/>
      <c r="HI99" s="51"/>
    </row>
    <row r="100" spans="39:217" ht="14.4" customHeight="1" x14ac:dyDescent="0.35">
      <c r="AR100" s="422">
        <f t="shared" ref="AR100" si="326">AR99/12</f>
        <v>0</v>
      </c>
      <c r="AS100" s="424"/>
      <c r="AT100" s="424"/>
      <c r="AU100" s="424"/>
      <c r="AV100" s="422"/>
      <c r="BH100" s="529"/>
      <c r="BI100" s="529"/>
      <c r="BJ100" s="414" t="e">
        <f>$AS$97</f>
        <v>#DIV/0!</v>
      </c>
      <c r="BK100" s="242" t="str">
        <f t="shared" si="277"/>
        <v>C42</v>
      </c>
      <c r="BL100" s="433">
        <f>Tabla24[[#This Row],[Columna3]]/7</f>
        <v>0</v>
      </c>
      <c r="BM100" s="433">
        <f>Tabla24[[#This Row],[Columna4]]/4.2</f>
        <v>0</v>
      </c>
      <c r="BN100" s="433">
        <f t="shared" si="278"/>
        <v>0</v>
      </c>
      <c r="BO100" s="433">
        <f t="shared" si="279"/>
        <v>0</v>
      </c>
      <c r="BP100" s="433">
        <f t="shared" si="280"/>
        <v>0</v>
      </c>
      <c r="BQ100" s="433">
        <f t="shared" si="281"/>
        <v>0</v>
      </c>
      <c r="BR100" s="433">
        <f t="shared" si="282"/>
        <v>0</v>
      </c>
      <c r="BS100" s="433">
        <f t="shared" si="283"/>
        <v>0</v>
      </c>
      <c r="BT100" s="433">
        <f t="shared" si="284"/>
        <v>0</v>
      </c>
      <c r="BU100" s="433">
        <f t="shared" si="285"/>
        <v>0</v>
      </c>
      <c r="BV100" s="433">
        <f t="shared" si="286"/>
        <v>0</v>
      </c>
      <c r="BW100" s="433">
        <f t="shared" si="287"/>
        <v>0</v>
      </c>
      <c r="BX100" s="433">
        <f t="shared" si="288"/>
        <v>0</v>
      </c>
      <c r="BY100" s="433">
        <f t="shared" si="289"/>
        <v>0</v>
      </c>
      <c r="BZ100" s="433">
        <f t="shared" si="290"/>
        <v>0</v>
      </c>
      <c r="CB100" s="529"/>
      <c r="CC100" s="529"/>
      <c r="CD100" s="414" t="e">
        <f>$AS$97</f>
        <v>#DIV/0!</v>
      </c>
      <c r="CE100" s="242" t="str">
        <f>Tabla24[[#This Row],[Columna1]]</f>
        <v>C42</v>
      </c>
      <c r="CF100" s="433">
        <f>Tabla2410[[#This Row],[Columna3]]/7</f>
        <v>0</v>
      </c>
      <c r="CG100" s="433">
        <f>Tabla2410[[#This Row],[Columna4]]/4.2</f>
        <v>0</v>
      </c>
      <c r="CH100" s="433">
        <f>Tabla24[[#This Row],[Columna16]]</f>
        <v>0</v>
      </c>
      <c r="CI100" s="433" t="e">
        <f>(Tabla2410[[#This Row],[Columna4]]*CI$56/$BZ$56)*$CH$55</f>
        <v>#DIV/0!</v>
      </c>
      <c r="CJ100" s="433" t="e">
        <f>(Tabla2410[[#This Row],[Columna4]]*CJ$56/$BZ$56)*$CH$55</f>
        <v>#DIV/0!</v>
      </c>
      <c r="CK100" s="433" t="e">
        <f>(Tabla2410[[#This Row],[Columna4]]*CK$56/$BZ$56)*$CH$55</f>
        <v>#DIV/0!</v>
      </c>
      <c r="CL100" s="433" t="e">
        <f>(Tabla2410[[#This Row],[Columna4]]*CL$56/$BZ$56)*$CH$55</f>
        <v>#DIV/0!</v>
      </c>
      <c r="CM100" s="433" t="e">
        <f>(Tabla2410[[#This Row],[Columna4]]*CM$56/$BZ$56)*$CH$55</f>
        <v>#DIV/0!</v>
      </c>
      <c r="CN100" s="433" t="e">
        <f>(Tabla2410[[#This Row],[Columna4]]*CN$56/$BZ$56)*$CH$55</f>
        <v>#DIV/0!</v>
      </c>
      <c r="CO100" s="433" t="e">
        <f>(Tabla2410[[#This Row],[Columna4]]*CO$56/$BZ$56)*$CH$55</f>
        <v>#DIV/0!</v>
      </c>
      <c r="CP100" s="433" t="e">
        <f>(Tabla2410[[#This Row],[Columna4]]*CP$56/$BZ$56)*$CH$55</f>
        <v>#DIV/0!</v>
      </c>
      <c r="CQ100" s="433" t="e">
        <f>(Tabla2410[[#This Row],[Columna4]]*CQ$56/$BZ$56)*$CH$55</f>
        <v>#DIV/0!</v>
      </c>
      <c r="CR100" s="433" t="e">
        <f>(Tabla2410[[#This Row],[Columna4]]*CR$56/$BZ$56)*$CH$55</f>
        <v>#DIV/0!</v>
      </c>
      <c r="CS100" s="433" t="e">
        <f>(Tabla2410[[#This Row],[Columna4]]*CS$56/$BZ$56)*$CH$55</f>
        <v>#DIV/0!</v>
      </c>
      <c r="CT100" s="433" t="e">
        <f>(Tabla2410[[#This Row],[Columna4]]*CT$56/$BZ$56)*$CH$55</f>
        <v>#DIV/0!</v>
      </c>
      <c r="CV100" s="529"/>
      <c r="CW100" s="529"/>
      <c r="CX100" s="414" t="e">
        <f>$AS$97</f>
        <v>#DIV/0!</v>
      </c>
      <c r="CY100" s="242" t="str">
        <f>Tabla24[[#This Row],[Columna1]]</f>
        <v>C42</v>
      </c>
      <c r="CZ100" s="433" t="e">
        <f>Tabla24105[[#This Row],[Columna3]]/7</f>
        <v>#DIV/0!</v>
      </c>
      <c r="DA100" s="433" t="e">
        <f>Tabla24105[[#This Row],[Columna4]]/4.2</f>
        <v>#DIV/0!</v>
      </c>
      <c r="DB100" s="433" t="e">
        <f>Tabla2410[[#This Row],[Columna16]]</f>
        <v>#DIV/0!</v>
      </c>
      <c r="DC100" s="433" t="e">
        <f>(Tabla24105[[#This Row],[Columna4]]*DC$56/$CT$56)*$DB$55</f>
        <v>#DIV/0!</v>
      </c>
      <c r="DD100" s="433" t="e">
        <f>(Tabla24105[[#This Row],[Columna4]]*DD$56/$CT$56)*$DB$55</f>
        <v>#DIV/0!</v>
      </c>
      <c r="DE100" s="433" t="e">
        <f>(Tabla24105[[#This Row],[Columna4]]*DE$56/$CT$56)*$DB$55</f>
        <v>#DIV/0!</v>
      </c>
      <c r="DF100" s="433" t="e">
        <f>(Tabla24105[[#This Row],[Columna4]]*DF$56/$CT$56)*$DB$55</f>
        <v>#DIV/0!</v>
      </c>
      <c r="DG100" s="433" t="e">
        <f>(Tabla24105[[#This Row],[Columna4]]*DG$56/$CT$56)*$DB$55</f>
        <v>#DIV/0!</v>
      </c>
      <c r="DH100" s="433" t="e">
        <f>(Tabla24105[[#This Row],[Columna4]]*DH$56/$CT$56)*$DB$55</f>
        <v>#DIV/0!</v>
      </c>
      <c r="DI100" s="433" t="e">
        <f>(Tabla24105[[#This Row],[Columna4]]*DI$56/$CT$56)*$DB$55</f>
        <v>#DIV/0!</v>
      </c>
      <c r="DJ100" s="433" t="e">
        <f>(Tabla24105[[#This Row],[Columna4]]*DJ$56/$CT$56)*$DB$55</f>
        <v>#DIV/0!</v>
      </c>
      <c r="DK100" s="433" t="e">
        <f>(Tabla24105[[#This Row],[Columna4]]*DK$56/$CT$56)*$DB$55</f>
        <v>#DIV/0!</v>
      </c>
      <c r="DL100" s="433" t="e">
        <f>(Tabla24105[[#This Row],[Columna4]]*DL$56/$CT$56)*$DB$55</f>
        <v>#DIV/0!</v>
      </c>
      <c r="DM100" s="433" t="e">
        <f>(Tabla24105[[#This Row],[Columna4]]*DM$56/$CT$56)*$DB$55</f>
        <v>#DIV/0!</v>
      </c>
      <c r="DN100" s="433" t="e">
        <f>(Tabla24105[[#This Row],[Columna4]]*DN$56/$CT$56)*$DB$55</f>
        <v>#DIV/0!</v>
      </c>
      <c r="DP100" s="529"/>
      <c r="DQ100" s="529"/>
      <c r="DR100" s="414" t="e">
        <f>$AS$97</f>
        <v>#DIV/0!</v>
      </c>
      <c r="DS100" s="242" t="str">
        <f>Tabla24[[#This Row],[Columna1]]</f>
        <v>C42</v>
      </c>
      <c r="DT100" s="433" t="e">
        <f>Tabla241057[[#This Row],[Columna3]]/7</f>
        <v>#DIV/0!</v>
      </c>
      <c r="DU100" s="433" t="e">
        <f>Tabla241057[[#This Row],[Columna4]]/4.2</f>
        <v>#DIV/0!</v>
      </c>
      <c r="DV100" s="433" t="e">
        <f>Tabla24105[[#This Row],[Columna16]]</f>
        <v>#DIV/0!</v>
      </c>
      <c r="DW100" s="433" t="e">
        <f>(Tabla241057[[#This Row],[Columna4]]*DW$56/$DN$56)*$DV$55</f>
        <v>#DIV/0!</v>
      </c>
      <c r="DX100" s="433" t="e">
        <f>(Tabla241057[[#This Row],[Columna4]]*DX$56/$DN$56)*$DV$55</f>
        <v>#DIV/0!</v>
      </c>
      <c r="DY100" s="433" t="e">
        <f>(Tabla241057[[#This Row],[Columna4]]*DY$56/$DN$56)*$DV$55</f>
        <v>#DIV/0!</v>
      </c>
      <c r="DZ100" s="433" t="e">
        <f>(Tabla241057[[#This Row],[Columna4]]*DZ$56/$DN$56)*$DV$55</f>
        <v>#DIV/0!</v>
      </c>
      <c r="EA100" s="433" t="e">
        <f>(Tabla241057[[#This Row],[Columna4]]*EA$56/$DN$56)*$DV$55</f>
        <v>#DIV/0!</v>
      </c>
      <c r="EB100" s="433" t="e">
        <f>(Tabla241057[[#This Row],[Columna4]]*EB$56/$DN$56)*$DV$55</f>
        <v>#DIV/0!</v>
      </c>
      <c r="EC100" s="433" t="e">
        <f>(Tabla241057[[#This Row],[Columna4]]*EC$56/$DN$56)*$DV$55</f>
        <v>#DIV/0!</v>
      </c>
      <c r="ED100" s="433" t="e">
        <f>(Tabla241057[[#This Row],[Columna4]]*ED$56/$DN$56)*$DV$55</f>
        <v>#DIV/0!</v>
      </c>
      <c r="EE100" s="433" t="e">
        <f>(Tabla241057[[#This Row],[Columna4]]*EE$56/$DN$56)*$DV$55</f>
        <v>#DIV/0!</v>
      </c>
      <c r="EF100" s="433" t="e">
        <f>(Tabla241057[[#This Row],[Columna4]]*EF$56/$DN$56)*$DV$55</f>
        <v>#DIV/0!</v>
      </c>
      <c r="EG100" s="433" t="e">
        <f>(Tabla241057[[#This Row],[Columna4]]*EG$56/$DN$56)*$DV$55</f>
        <v>#DIV/0!</v>
      </c>
      <c r="EH100" s="433" t="e">
        <f>(Tabla241057[[#This Row],[Columna4]]*EH$56/$DN$56)*$DV$55</f>
        <v>#DIV/0!</v>
      </c>
      <c r="EJ100" s="529"/>
      <c r="EK100" s="529"/>
      <c r="EL100" s="414" t="e">
        <f>$AS$97</f>
        <v>#DIV/0!</v>
      </c>
      <c r="EM100" s="242" t="str">
        <f>Tabla24[[#This Row],[Columna1]]</f>
        <v>C42</v>
      </c>
      <c r="EN100" s="433" t="e">
        <f>Tabla24105711[[#This Row],[Columna3]]/7</f>
        <v>#DIV/0!</v>
      </c>
      <c r="EO100" s="433" t="e">
        <f>Tabla24105711[[#This Row],[Columna4]]/4.2</f>
        <v>#DIV/0!</v>
      </c>
      <c r="EP100" s="433" t="e">
        <f>Tabla241057[[#This Row],[Columna16]]</f>
        <v>#DIV/0!</v>
      </c>
      <c r="EQ100" s="433" t="e">
        <f>(Tabla24105711[[#This Row],[Columna4]]*EQ$56/$EH$56)*$EP$55</f>
        <v>#DIV/0!</v>
      </c>
      <c r="ER100" s="433" t="e">
        <f>(Tabla24105711[[#This Row],[Columna4]]*ER$56/$EH$56)*$EP$55</f>
        <v>#DIV/0!</v>
      </c>
      <c r="ES100" s="433" t="e">
        <f>(Tabla24105711[[#This Row],[Columna4]]*ES$56/$EH$56)*$EP$55</f>
        <v>#DIV/0!</v>
      </c>
      <c r="ET100" s="433" t="e">
        <f>(Tabla24105711[[#This Row],[Columna4]]*ET$56/$EH$56)*$EP$55</f>
        <v>#DIV/0!</v>
      </c>
      <c r="EU100" s="433" t="e">
        <f>(Tabla24105711[[#This Row],[Columna4]]*EU$56/$EH$56)*$EP$55</f>
        <v>#DIV/0!</v>
      </c>
      <c r="EV100" s="433" t="e">
        <f>(Tabla24105711[[#This Row],[Columna4]]*EV$56/$EH$56)*$EP$55</f>
        <v>#DIV/0!</v>
      </c>
      <c r="EW100" s="433" t="e">
        <f>(Tabla24105711[[#This Row],[Columna4]]*EW$56/$EH$56)*$EP$55</f>
        <v>#DIV/0!</v>
      </c>
      <c r="EX100" s="433" t="e">
        <f>(Tabla24105711[[#This Row],[Columna4]]*EX$56/$EH$56)*$EP$55</f>
        <v>#DIV/0!</v>
      </c>
      <c r="EY100" s="433" t="e">
        <f>(Tabla24105711[[#This Row],[Columna4]]*EY$56/$EH$56)*$EP$55</f>
        <v>#DIV/0!</v>
      </c>
      <c r="EZ100" s="433" t="e">
        <f>(Tabla24105711[[#This Row],[Columna4]]*EZ$56/$EH$56)*$EP$55</f>
        <v>#DIV/0!</v>
      </c>
      <c r="FA100" s="433" t="e">
        <f>(Tabla24105711[[#This Row],[Columna4]]*FA$56/$EH$56)*$EP$55</f>
        <v>#DIV/0!</v>
      </c>
      <c r="FB100" s="433" t="e">
        <f>(Tabla24105711[[#This Row],[Columna4]]*FB$56/$EH$56)*$EP$55</f>
        <v>#DIV/0!</v>
      </c>
      <c r="FD100" s="397" t="s">
        <v>153</v>
      </c>
      <c r="FE100" s="357" t="s">
        <v>150</v>
      </c>
      <c r="FF100" s="325">
        <f>SUM(FF101:FF110)</f>
        <v>0</v>
      </c>
      <c r="FG100" s="325">
        <f t="shared" ref="FG100:FQ100" si="327">SUM(FG101:FG110)</f>
        <v>0</v>
      </c>
      <c r="FH100" s="325">
        <f t="shared" si="327"/>
        <v>0</v>
      </c>
      <c r="FI100" s="325">
        <f t="shared" si="327"/>
        <v>0</v>
      </c>
      <c r="FJ100" s="325">
        <f t="shared" si="327"/>
        <v>0</v>
      </c>
      <c r="FK100" s="325">
        <f t="shared" si="327"/>
        <v>0</v>
      </c>
      <c r="FL100" s="325">
        <f t="shared" si="327"/>
        <v>0</v>
      </c>
      <c r="FM100" s="325">
        <f t="shared" si="327"/>
        <v>0</v>
      </c>
      <c r="FN100" s="325">
        <f t="shared" si="327"/>
        <v>0</v>
      </c>
      <c r="FO100" s="325">
        <f t="shared" si="327"/>
        <v>0</v>
      </c>
      <c r="FP100" s="325">
        <f t="shared" si="327"/>
        <v>0</v>
      </c>
      <c r="FQ100" s="325">
        <f t="shared" si="327"/>
        <v>0</v>
      </c>
      <c r="FR100" s="309">
        <f t="shared" si="197"/>
        <v>0</v>
      </c>
      <c r="FS100" s="260" t="e">
        <f t="shared" si="323"/>
        <v>#DIV/0!</v>
      </c>
      <c r="FV100" s="324" t="s">
        <v>16</v>
      </c>
      <c r="FW100" s="325" t="e">
        <f>FW99*$FS$7</f>
        <v>#DIV/0!</v>
      </c>
      <c r="FX100" s="325" t="e">
        <f t="shared" ref="FX100:GH100" si="328">FX99*$FS$7</f>
        <v>#DIV/0!</v>
      </c>
      <c r="FY100" s="325" t="e">
        <f t="shared" si="328"/>
        <v>#DIV/0!</v>
      </c>
      <c r="FZ100" s="325" t="e">
        <f t="shared" si="328"/>
        <v>#DIV/0!</v>
      </c>
      <c r="GA100" s="325" t="e">
        <f t="shared" si="328"/>
        <v>#DIV/0!</v>
      </c>
      <c r="GB100" s="325" t="e">
        <f t="shared" si="328"/>
        <v>#DIV/0!</v>
      </c>
      <c r="GC100" s="325" t="e">
        <f t="shared" si="328"/>
        <v>#DIV/0!</v>
      </c>
      <c r="GD100" s="325" t="e">
        <f t="shared" si="328"/>
        <v>#DIV/0!</v>
      </c>
      <c r="GE100" s="325" t="e">
        <f t="shared" si="328"/>
        <v>#DIV/0!</v>
      </c>
      <c r="GF100" s="325" t="e">
        <f t="shared" si="328"/>
        <v>#DIV/0!</v>
      </c>
      <c r="GG100" s="325" t="e">
        <f t="shared" si="328"/>
        <v>#DIV/0!</v>
      </c>
      <c r="GH100" s="325" t="e">
        <f t="shared" si="328"/>
        <v>#DIV/0!</v>
      </c>
      <c r="GI100" s="309" t="e">
        <f t="shared" ref="GI100:GI103" si="329">SUM(FW100:GH100)</f>
        <v>#DIV/0!</v>
      </c>
      <c r="GJ100" s="246">
        <v>2.5000000000000001E-2</v>
      </c>
      <c r="GK100" s="262" t="e">
        <f>GI100/GI69-1</f>
        <v>#DIV/0!</v>
      </c>
      <c r="HD100" s="507" t="s">
        <v>482</v>
      </c>
      <c r="HE100" s="507"/>
      <c r="HF100" s="507"/>
      <c r="HG100" s="507"/>
      <c r="HH100" s="85">
        <f>HH88</f>
        <v>0</v>
      </c>
      <c r="HI100" s="51"/>
    </row>
    <row r="101" spans="39:217" ht="14.4" customHeight="1" thickBot="1" x14ac:dyDescent="0.4">
      <c r="AR101" s="426">
        <f>AR100/$AR$52</f>
        <v>0</v>
      </c>
      <c r="AS101" s="427"/>
      <c r="AT101" s="427"/>
      <c r="AU101" s="427"/>
      <c r="AV101" s="426"/>
      <c r="BH101" s="529"/>
      <c r="BI101" s="529"/>
      <c r="BJ101" s="414" t="e">
        <f>$AS$98</f>
        <v>#DIV/0!</v>
      </c>
      <c r="BK101" s="242" t="str">
        <f t="shared" si="277"/>
        <v>C43</v>
      </c>
      <c r="BL101" s="433">
        <f>Tabla24[[#This Row],[Columna3]]/7</f>
        <v>0</v>
      </c>
      <c r="BM101" s="433">
        <f>Tabla24[[#This Row],[Columna4]]/4.2</f>
        <v>0</v>
      </c>
      <c r="BN101" s="433">
        <f t="shared" si="278"/>
        <v>0</v>
      </c>
      <c r="BO101" s="433">
        <f t="shared" si="279"/>
        <v>0</v>
      </c>
      <c r="BP101" s="433">
        <f t="shared" si="280"/>
        <v>0</v>
      </c>
      <c r="BQ101" s="433">
        <f t="shared" si="281"/>
        <v>0</v>
      </c>
      <c r="BR101" s="433">
        <f t="shared" si="282"/>
        <v>0</v>
      </c>
      <c r="BS101" s="433">
        <f t="shared" si="283"/>
        <v>0</v>
      </c>
      <c r="BT101" s="433">
        <f t="shared" si="284"/>
        <v>0</v>
      </c>
      <c r="BU101" s="433">
        <f t="shared" si="285"/>
        <v>0</v>
      </c>
      <c r="BV101" s="433">
        <f t="shared" si="286"/>
        <v>0</v>
      </c>
      <c r="BW101" s="433">
        <f t="shared" si="287"/>
        <v>0</v>
      </c>
      <c r="BX101" s="433">
        <f t="shared" si="288"/>
        <v>0</v>
      </c>
      <c r="BY101" s="433">
        <f t="shared" si="289"/>
        <v>0</v>
      </c>
      <c r="BZ101" s="433">
        <f t="shared" si="290"/>
        <v>0</v>
      </c>
      <c r="CB101" s="529"/>
      <c r="CC101" s="529"/>
      <c r="CD101" s="414" t="e">
        <f>$AS$98</f>
        <v>#DIV/0!</v>
      </c>
      <c r="CE101" s="242" t="str">
        <f>Tabla24[[#This Row],[Columna1]]</f>
        <v>C43</v>
      </c>
      <c r="CF101" s="433">
        <f>Tabla2410[[#This Row],[Columna3]]/7</f>
        <v>0</v>
      </c>
      <c r="CG101" s="433">
        <f>Tabla2410[[#This Row],[Columna4]]/4.2</f>
        <v>0</v>
      </c>
      <c r="CH101" s="433">
        <f>Tabla24[[#This Row],[Columna16]]</f>
        <v>0</v>
      </c>
      <c r="CI101" s="433" t="e">
        <f>(Tabla2410[[#This Row],[Columna4]]*CI$56/$BZ$56)*$CH$55</f>
        <v>#DIV/0!</v>
      </c>
      <c r="CJ101" s="433" t="e">
        <f>(Tabla2410[[#This Row],[Columna4]]*CJ$56/$BZ$56)*$CH$55</f>
        <v>#DIV/0!</v>
      </c>
      <c r="CK101" s="433" t="e">
        <f>(Tabla2410[[#This Row],[Columna4]]*CK$56/$BZ$56)*$CH$55</f>
        <v>#DIV/0!</v>
      </c>
      <c r="CL101" s="433" t="e">
        <f>(Tabla2410[[#This Row],[Columna4]]*CL$56/$BZ$56)*$CH$55</f>
        <v>#DIV/0!</v>
      </c>
      <c r="CM101" s="433" t="e">
        <f>(Tabla2410[[#This Row],[Columna4]]*CM$56/$BZ$56)*$CH$55</f>
        <v>#DIV/0!</v>
      </c>
      <c r="CN101" s="433" t="e">
        <f>(Tabla2410[[#This Row],[Columna4]]*CN$56/$BZ$56)*$CH$55</f>
        <v>#DIV/0!</v>
      </c>
      <c r="CO101" s="433" t="e">
        <f>(Tabla2410[[#This Row],[Columna4]]*CO$56/$BZ$56)*$CH$55</f>
        <v>#DIV/0!</v>
      </c>
      <c r="CP101" s="433" t="e">
        <f>(Tabla2410[[#This Row],[Columna4]]*CP$56/$BZ$56)*$CH$55</f>
        <v>#DIV/0!</v>
      </c>
      <c r="CQ101" s="433" t="e">
        <f>(Tabla2410[[#This Row],[Columna4]]*CQ$56/$BZ$56)*$CH$55</f>
        <v>#DIV/0!</v>
      </c>
      <c r="CR101" s="433" t="e">
        <f>(Tabla2410[[#This Row],[Columna4]]*CR$56/$BZ$56)*$CH$55</f>
        <v>#DIV/0!</v>
      </c>
      <c r="CS101" s="433" t="e">
        <f>(Tabla2410[[#This Row],[Columna4]]*CS$56/$BZ$56)*$CH$55</f>
        <v>#DIV/0!</v>
      </c>
      <c r="CT101" s="433" t="e">
        <f>(Tabla2410[[#This Row],[Columna4]]*CT$56/$BZ$56)*$CH$55</f>
        <v>#DIV/0!</v>
      </c>
      <c r="CV101" s="529"/>
      <c r="CW101" s="529"/>
      <c r="CX101" s="414" t="e">
        <f>$AS$98</f>
        <v>#DIV/0!</v>
      </c>
      <c r="CY101" s="242" t="str">
        <f>Tabla24[[#This Row],[Columna1]]</f>
        <v>C43</v>
      </c>
      <c r="CZ101" s="433" t="e">
        <f>Tabla24105[[#This Row],[Columna3]]/7</f>
        <v>#DIV/0!</v>
      </c>
      <c r="DA101" s="433" t="e">
        <f>Tabla24105[[#This Row],[Columna4]]/4.2</f>
        <v>#DIV/0!</v>
      </c>
      <c r="DB101" s="433" t="e">
        <f>Tabla2410[[#This Row],[Columna16]]</f>
        <v>#DIV/0!</v>
      </c>
      <c r="DC101" s="433" t="e">
        <f>(Tabla24105[[#This Row],[Columna4]]*DC$56/$CT$56)*$DB$55</f>
        <v>#DIV/0!</v>
      </c>
      <c r="DD101" s="433" t="e">
        <f>(Tabla24105[[#This Row],[Columna4]]*DD$56/$CT$56)*$DB$55</f>
        <v>#DIV/0!</v>
      </c>
      <c r="DE101" s="433" t="e">
        <f>(Tabla24105[[#This Row],[Columna4]]*DE$56/$CT$56)*$DB$55</f>
        <v>#DIV/0!</v>
      </c>
      <c r="DF101" s="433" t="e">
        <f>(Tabla24105[[#This Row],[Columna4]]*DF$56/$CT$56)*$DB$55</f>
        <v>#DIV/0!</v>
      </c>
      <c r="DG101" s="433" t="e">
        <f>(Tabla24105[[#This Row],[Columna4]]*DG$56/$CT$56)*$DB$55</f>
        <v>#DIV/0!</v>
      </c>
      <c r="DH101" s="433" t="e">
        <f>(Tabla24105[[#This Row],[Columna4]]*DH$56/$CT$56)*$DB$55</f>
        <v>#DIV/0!</v>
      </c>
      <c r="DI101" s="433" t="e">
        <f>(Tabla24105[[#This Row],[Columna4]]*DI$56/$CT$56)*$DB$55</f>
        <v>#DIV/0!</v>
      </c>
      <c r="DJ101" s="433" t="e">
        <f>(Tabla24105[[#This Row],[Columna4]]*DJ$56/$CT$56)*$DB$55</f>
        <v>#DIV/0!</v>
      </c>
      <c r="DK101" s="433" t="e">
        <f>(Tabla24105[[#This Row],[Columna4]]*DK$56/$CT$56)*$DB$55</f>
        <v>#DIV/0!</v>
      </c>
      <c r="DL101" s="433" t="e">
        <f>(Tabla24105[[#This Row],[Columna4]]*DL$56/$CT$56)*$DB$55</f>
        <v>#DIV/0!</v>
      </c>
      <c r="DM101" s="433" t="e">
        <f>(Tabla24105[[#This Row],[Columna4]]*DM$56/$CT$56)*$DB$55</f>
        <v>#DIV/0!</v>
      </c>
      <c r="DN101" s="433" t="e">
        <f>(Tabla24105[[#This Row],[Columna4]]*DN$56/$CT$56)*$DB$55</f>
        <v>#DIV/0!</v>
      </c>
      <c r="DP101" s="529"/>
      <c r="DQ101" s="529"/>
      <c r="DR101" s="414" t="e">
        <f>$AS$98</f>
        <v>#DIV/0!</v>
      </c>
      <c r="DS101" s="242" t="str">
        <f>Tabla24[[#This Row],[Columna1]]</f>
        <v>C43</v>
      </c>
      <c r="DT101" s="433" t="e">
        <f>Tabla241057[[#This Row],[Columna3]]/7</f>
        <v>#DIV/0!</v>
      </c>
      <c r="DU101" s="433" t="e">
        <f>Tabla241057[[#This Row],[Columna4]]/4.2</f>
        <v>#DIV/0!</v>
      </c>
      <c r="DV101" s="433" t="e">
        <f>Tabla24105[[#This Row],[Columna16]]</f>
        <v>#DIV/0!</v>
      </c>
      <c r="DW101" s="433" t="e">
        <f>(Tabla241057[[#This Row],[Columna4]]*DW$56/$DN$56)*$DV$55</f>
        <v>#DIV/0!</v>
      </c>
      <c r="DX101" s="433" t="e">
        <f>(Tabla241057[[#This Row],[Columna4]]*DX$56/$DN$56)*$DV$55</f>
        <v>#DIV/0!</v>
      </c>
      <c r="DY101" s="433" t="e">
        <f>(Tabla241057[[#This Row],[Columna4]]*DY$56/$DN$56)*$DV$55</f>
        <v>#DIV/0!</v>
      </c>
      <c r="DZ101" s="433" t="e">
        <f>(Tabla241057[[#This Row],[Columna4]]*DZ$56/$DN$56)*$DV$55</f>
        <v>#DIV/0!</v>
      </c>
      <c r="EA101" s="433" t="e">
        <f>(Tabla241057[[#This Row],[Columna4]]*EA$56/$DN$56)*$DV$55</f>
        <v>#DIV/0!</v>
      </c>
      <c r="EB101" s="433" t="e">
        <f>(Tabla241057[[#This Row],[Columna4]]*EB$56/$DN$56)*$DV$55</f>
        <v>#DIV/0!</v>
      </c>
      <c r="EC101" s="433" t="e">
        <f>(Tabla241057[[#This Row],[Columna4]]*EC$56/$DN$56)*$DV$55</f>
        <v>#DIV/0!</v>
      </c>
      <c r="ED101" s="433" t="e">
        <f>(Tabla241057[[#This Row],[Columna4]]*ED$56/$DN$56)*$DV$55</f>
        <v>#DIV/0!</v>
      </c>
      <c r="EE101" s="433" t="e">
        <f>(Tabla241057[[#This Row],[Columna4]]*EE$56/$DN$56)*$DV$55</f>
        <v>#DIV/0!</v>
      </c>
      <c r="EF101" s="433" t="e">
        <f>(Tabla241057[[#This Row],[Columna4]]*EF$56/$DN$56)*$DV$55</f>
        <v>#DIV/0!</v>
      </c>
      <c r="EG101" s="433" t="e">
        <f>(Tabla241057[[#This Row],[Columna4]]*EG$56/$DN$56)*$DV$55</f>
        <v>#DIV/0!</v>
      </c>
      <c r="EH101" s="433" t="e">
        <f>(Tabla241057[[#This Row],[Columna4]]*EH$56/$DN$56)*$DV$55</f>
        <v>#DIV/0!</v>
      </c>
      <c r="EJ101" s="529"/>
      <c r="EK101" s="529"/>
      <c r="EL101" s="414" t="e">
        <f>$AS$98</f>
        <v>#DIV/0!</v>
      </c>
      <c r="EM101" s="242" t="str">
        <f>Tabla24[[#This Row],[Columna1]]</f>
        <v>C43</v>
      </c>
      <c r="EN101" s="433" t="e">
        <f>Tabla24105711[[#This Row],[Columna3]]/7</f>
        <v>#DIV/0!</v>
      </c>
      <c r="EO101" s="433" t="e">
        <f>Tabla24105711[[#This Row],[Columna4]]/4.2</f>
        <v>#DIV/0!</v>
      </c>
      <c r="EP101" s="433" t="e">
        <f>Tabla241057[[#This Row],[Columna16]]</f>
        <v>#DIV/0!</v>
      </c>
      <c r="EQ101" s="433" t="e">
        <f>(Tabla24105711[[#This Row],[Columna4]]*EQ$56/$EH$56)*$EP$55</f>
        <v>#DIV/0!</v>
      </c>
      <c r="ER101" s="433" t="e">
        <f>(Tabla24105711[[#This Row],[Columna4]]*ER$56/$EH$56)*$EP$55</f>
        <v>#DIV/0!</v>
      </c>
      <c r="ES101" s="433" t="e">
        <f>(Tabla24105711[[#This Row],[Columna4]]*ES$56/$EH$56)*$EP$55</f>
        <v>#DIV/0!</v>
      </c>
      <c r="ET101" s="433" t="e">
        <f>(Tabla24105711[[#This Row],[Columna4]]*ET$56/$EH$56)*$EP$55</f>
        <v>#DIV/0!</v>
      </c>
      <c r="EU101" s="433" t="e">
        <f>(Tabla24105711[[#This Row],[Columna4]]*EU$56/$EH$56)*$EP$55</f>
        <v>#DIV/0!</v>
      </c>
      <c r="EV101" s="433" t="e">
        <f>(Tabla24105711[[#This Row],[Columna4]]*EV$56/$EH$56)*$EP$55</f>
        <v>#DIV/0!</v>
      </c>
      <c r="EW101" s="433" t="e">
        <f>(Tabla24105711[[#This Row],[Columna4]]*EW$56/$EH$56)*$EP$55</f>
        <v>#DIV/0!</v>
      </c>
      <c r="EX101" s="433" t="e">
        <f>(Tabla24105711[[#This Row],[Columna4]]*EX$56/$EH$56)*$EP$55</f>
        <v>#DIV/0!</v>
      </c>
      <c r="EY101" s="433" t="e">
        <f>(Tabla24105711[[#This Row],[Columna4]]*EY$56/$EH$56)*$EP$55</f>
        <v>#DIV/0!</v>
      </c>
      <c r="EZ101" s="433" t="e">
        <f>(Tabla24105711[[#This Row],[Columna4]]*EZ$56/$EH$56)*$EP$55</f>
        <v>#DIV/0!</v>
      </c>
      <c r="FA101" s="433" t="e">
        <f>(Tabla24105711[[#This Row],[Columna4]]*FA$56/$EH$56)*$EP$55</f>
        <v>#DIV/0!</v>
      </c>
      <c r="FB101" s="433" t="e">
        <f>(Tabla24105711[[#This Row],[Columna4]]*FB$56/$EH$56)*$EP$55</f>
        <v>#DIV/0!</v>
      </c>
      <c r="FD101" s="397" t="s">
        <v>155</v>
      </c>
      <c r="FE101" s="399" t="s">
        <v>152</v>
      </c>
      <c r="FF101" s="400">
        <f t="shared" ref="FF101:FQ110" si="330">+FF276/FF$376</f>
        <v>0</v>
      </c>
      <c r="FG101" s="400">
        <f t="shared" si="330"/>
        <v>0</v>
      </c>
      <c r="FH101" s="400">
        <f t="shared" si="330"/>
        <v>0</v>
      </c>
      <c r="FI101" s="400">
        <f t="shared" si="330"/>
        <v>0</v>
      </c>
      <c r="FJ101" s="400">
        <f t="shared" si="330"/>
        <v>0</v>
      </c>
      <c r="FK101" s="400">
        <f t="shared" si="330"/>
        <v>0</v>
      </c>
      <c r="FL101" s="400">
        <f t="shared" si="330"/>
        <v>0</v>
      </c>
      <c r="FM101" s="400">
        <f t="shared" si="330"/>
        <v>0</v>
      </c>
      <c r="FN101" s="400">
        <f t="shared" si="330"/>
        <v>0</v>
      </c>
      <c r="FO101" s="400">
        <f t="shared" si="330"/>
        <v>0</v>
      </c>
      <c r="FP101" s="400">
        <f t="shared" si="330"/>
        <v>0</v>
      </c>
      <c r="FQ101" s="400">
        <f t="shared" si="330"/>
        <v>0</v>
      </c>
      <c r="FR101" s="363">
        <f t="shared" ref="FR101:FR175" si="331">SUM(FF101:FQ101)</f>
        <v>0</v>
      </c>
      <c r="FS101" s="260" t="e">
        <f t="shared" si="323"/>
        <v>#DIV/0!</v>
      </c>
      <c r="FV101" s="307" t="s">
        <v>17</v>
      </c>
      <c r="FW101" s="308" t="e">
        <f>FW99-FW100</f>
        <v>#DIV/0!</v>
      </c>
      <c r="FX101" s="308" t="e">
        <f t="shared" ref="FX101:GH101" si="332">FX99-FX100</f>
        <v>#DIV/0!</v>
      </c>
      <c r="FY101" s="308" t="e">
        <f t="shared" si="332"/>
        <v>#DIV/0!</v>
      </c>
      <c r="FZ101" s="308" t="e">
        <f t="shared" si="332"/>
        <v>#DIV/0!</v>
      </c>
      <c r="GA101" s="308" t="e">
        <f t="shared" si="332"/>
        <v>#DIV/0!</v>
      </c>
      <c r="GB101" s="308" t="e">
        <f t="shared" si="332"/>
        <v>#DIV/0!</v>
      </c>
      <c r="GC101" s="308" t="e">
        <f t="shared" si="332"/>
        <v>#DIV/0!</v>
      </c>
      <c r="GD101" s="308" t="e">
        <f t="shared" si="332"/>
        <v>#DIV/0!</v>
      </c>
      <c r="GE101" s="308" t="e">
        <f t="shared" si="332"/>
        <v>#DIV/0!</v>
      </c>
      <c r="GF101" s="308" t="e">
        <f t="shared" si="332"/>
        <v>#DIV/0!</v>
      </c>
      <c r="GG101" s="308" t="e">
        <f t="shared" si="332"/>
        <v>#DIV/0!</v>
      </c>
      <c r="GH101" s="308" t="e">
        <f t="shared" si="332"/>
        <v>#DIV/0!</v>
      </c>
      <c r="GI101" s="309" t="e">
        <f t="shared" si="329"/>
        <v>#DIV/0!</v>
      </c>
      <c r="GJ101" s="262" t="e">
        <f t="shared" ref="GJ101:GJ103" si="333">GI101/$GI$6</f>
        <v>#DIV/0!</v>
      </c>
      <c r="HD101" s="508" t="s">
        <v>483</v>
      </c>
      <c r="HE101" s="508"/>
      <c r="HF101" s="508"/>
      <c r="HG101" s="508"/>
      <c r="HH101" s="86">
        <f>HE98</f>
        <v>0</v>
      </c>
      <c r="HI101" s="51"/>
    </row>
    <row r="102" spans="39:217" ht="14.4" customHeight="1" thickTop="1" thickBot="1" x14ac:dyDescent="0.4">
      <c r="BK102" s="428"/>
      <c r="BL102" s="337">
        <f>SUM(BL59:BL101)</f>
        <v>0</v>
      </c>
      <c r="BM102" s="337">
        <f>SUM(BM59:BM101)</f>
        <v>0</v>
      </c>
      <c r="BN102" s="337">
        <f>SUM(BN59:BN101)</f>
        <v>0</v>
      </c>
      <c r="BO102" s="435">
        <f>SUBTOTAL(109,Tabla24[Columna5])</f>
        <v>0</v>
      </c>
      <c r="BP102" s="435">
        <f>SUBTOTAL(109,Tabla24[Columna6])</f>
        <v>0</v>
      </c>
      <c r="BQ102" s="435">
        <f>SUBTOTAL(109,Tabla24[Columna7])</f>
        <v>0</v>
      </c>
      <c r="BR102" s="435">
        <f>SUBTOTAL(109,Tabla24[Columna8])</f>
        <v>0</v>
      </c>
      <c r="BS102" s="435">
        <f>SUBTOTAL(109,Tabla24[Columna9])</f>
        <v>0</v>
      </c>
      <c r="BT102" s="435">
        <f>SUBTOTAL(109,Tabla24[Columna10])</f>
        <v>0</v>
      </c>
      <c r="BU102" s="435">
        <f>SUBTOTAL(109,Tabla24[Columna11])</f>
        <v>0</v>
      </c>
      <c r="BV102" s="435">
        <f>SUBTOTAL(109,Tabla24[Columna12])</f>
        <v>0</v>
      </c>
      <c r="BW102" s="435">
        <f>SUBTOTAL(109,Tabla24[Columna13])</f>
        <v>0</v>
      </c>
      <c r="BX102" s="435">
        <f>SUBTOTAL(109,Tabla24[Columna14])</f>
        <v>0</v>
      </c>
      <c r="BY102" s="435">
        <f>SUBTOTAL(109,Tabla24[Columna15])</f>
        <v>0</v>
      </c>
      <c r="BZ102" s="435">
        <f>SUBTOTAL(109,Tabla24[Columna16])</f>
        <v>0</v>
      </c>
      <c r="CE102" s="428"/>
      <c r="CF102" s="337"/>
      <c r="CG102" s="337"/>
      <c r="CH102" s="337"/>
      <c r="CI102" s="435" t="e">
        <f>SUBTOTAL(109,Tabla2410[Columna5])</f>
        <v>#DIV/0!</v>
      </c>
      <c r="CJ102" s="435" t="e">
        <f>SUBTOTAL(109,Tabla2410[Columna6])</f>
        <v>#DIV/0!</v>
      </c>
      <c r="CK102" s="435" t="e">
        <f>SUBTOTAL(109,Tabla2410[Columna7])</f>
        <v>#DIV/0!</v>
      </c>
      <c r="CL102" s="435" t="e">
        <f>SUBTOTAL(109,Tabla2410[Columna8])</f>
        <v>#DIV/0!</v>
      </c>
      <c r="CM102" s="435" t="e">
        <f>SUBTOTAL(109,Tabla2410[Columna9])</f>
        <v>#DIV/0!</v>
      </c>
      <c r="CN102" s="435" t="e">
        <f>SUBTOTAL(109,Tabla2410[Columna10])</f>
        <v>#DIV/0!</v>
      </c>
      <c r="CO102" s="435" t="e">
        <f>SUBTOTAL(109,Tabla2410[Columna11])</f>
        <v>#DIV/0!</v>
      </c>
      <c r="CP102" s="435" t="e">
        <f>SUBTOTAL(109,Tabla2410[Columna12])</f>
        <v>#DIV/0!</v>
      </c>
      <c r="CQ102" s="435" t="e">
        <f>SUBTOTAL(109,Tabla2410[Columna13])</f>
        <v>#DIV/0!</v>
      </c>
      <c r="CR102" s="435" t="e">
        <f>SUBTOTAL(109,Tabla2410[Columna14])</f>
        <v>#DIV/0!</v>
      </c>
      <c r="CS102" s="435" t="e">
        <f>SUBTOTAL(109,Tabla2410[Columna15])</f>
        <v>#DIV/0!</v>
      </c>
      <c r="CT102" s="435" t="e">
        <f>SUBTOTAL(109,Tabla2410[Columna16])</f>
        <v>#DIV/0!</v>
      </c>
      <c r="CY102" s="428"/>
      <c r="CZ102" s="337"/>
      <c r="DA102" s="337"/>
      <c r="DB102" s="337"/>
      <c r="DC102" s="435" t="e">
        <f>SUBTOTAL(109,Tabla24105[Columna5])</f>
        <v>#DIV/0!</v>
      </c>
      <c r="DD102" s="435" t="e">
        <f>SUBTOTAL(109,Tabla24105[Columna6])</f>
        <v>#DIV/0!</v>
      </c>
      <c r="DE102" s="435" t="e">
        <f>SUBTOTAL(109,Tabla24105[Columna7])</f>
        <v>#DIV/0!</v>
      </c>
      <c r="DF102" s="435" t="e">
        <f>SUBTOTAL(109,Tabla24105[Columna8])</f>
        <v>#DIV/0!</v>
      </c>
      <c r="DG102" s="435" t="e">
        <f>SUBTOTAL(109,Tabla24105[Columna9])</f>
        <v>#DIV/0!</v>
      </c>
      <c r="DH102" s="435" t="e">
        <f>SUBTOTAL(109,Tabla24105[Columna10])</f>
        <v>#DIV/0!</v>
      </c>
      <c r="DI102" s="435" t="e">
        <f>SUBTOTAL(109,Tabla24105[Columna11])</f>
        <v>#DIV/0!</v>
      </c>
      <c r="DJ102" s="435" t="e">
        <f>SUBTOTAL(109,Tabla24105[Columna12])</f>
        <v>#DIV/0!</v>
      </c>
      <c r="DK102" s="435" t="e">
        <f>SUBTOTAL(109,Tabla24105[Columna13])</f>
        <v>#DIV/0!</v>
      </c>
      <c r="DL102" s="435" t="e">
        <f>SUBTOTAL(109,Tabla24105[Columna14])</f>
        <v>#DIV/0!</v>
      </c>
      <c r="DM102" s="435" t="e">
        <f>SUBTOTAL(109,Tabla24105[Columna15])</f>
        <v>#DIV/0!</v>
      </c>
      <c r="DN102" s="435" t="e">
        <f>SUBTOTAL(109,Tabla24105[Columna16])</f>
        <v>#DIV/0!</v>
      </c>
      <c r="DS102" s="428"/>
      <c r="DT102" s="337"/>
      <c r="DU102" s="337"/>
      <c r="DV102" s="337"/>
      <c r="DW102" s="435" t="e">
        <f>SUBTOTAL(109,Tabla241057[Columna5])</f>
        <v>#DIV/0!</v>
      </c>
      <c r="DX102" s="435" t="e">
        <f>SUBTOTAL(109,Tabla241057[Columna6])</f>
        <v>#DIV/0!</v>
      </c>
      <c r="DY102" s="435" t="e">
        <f>SUBTOTAL(109,Tabla241057[Columna7])</f>
        <v>#DIV/0!</v>
      </c>
      <c r="DZ102" s="435" t="e">
        <f>SUBTOTAL(109,Tabla241057[Columna8])</f>
        <v>#DIV/0!</v>
      </c>
      <c r="EA102" s="435" t="e">
        <f>SUBTOTAL(109,Tabla241057[Columna9])</f>
        <v>#DIV/0!</v>
      </c>
      <c r="EB102" s="435" t="e">
        <f>SUBTOTAL(109,Tabla241057[Columna10])</f>
        <v>#DIV/0!</v>
      </c>
      <c r="EC102" s="435" t="e">
        <f>SUBTOTAL(109,Tabla241057[Columna11])</f>
        <v>#DIV/0!</v>
      </c>
      <c r="ED102" s="435" t="e">
        <f>SUBTOTAL(109,Tabla241057[Columna12])</f>
        <v>#DIV/0!</v>
      </c>
      <c r="EE102" s="435" t="e">
        <f>SUBTOTAL(109,Tabla241057[Columna13])</f>
        <v>#DIV/0!</v>
      </c>
      <c r="EF102" s="435" t="e">
        <f>SUBTOTAL(109,Tabla241057[Columna14])</f>
        <v>#DIV/0!</v>
      </c>
      <c r="EG102" s="435" t="e">
        <f>SUBTOTAL(109,Tabla241057[Columna15])</f>
        <v>#DIV/0!</v>
      </c>
      <c r="EH102" s="435" t="e">
        <f>SUBTOTAL(109,Tabla241057[Columna16])</f>
        <v>#DIV/0!</v>
      </c>
      <c r="EM102" s="428"/>
      <c r="EN102" s="337"/>
      <c r="EO102" s="337"/>
      <c r="EP102" s="337"/>
      <c r="EQ102" s="435" t="e">
        <f>SUBTOTAL(109,Tabla24105711[Columna5])</f>
        <v>#DIV/0!</v>
      </c>
      <c r="ER102" s="435" t="e">
        <f>SUBTOTAL(109,Tabla24105711[Columna6])</f>
        <v>#DIV/0!</v>
      </c>
      <c r="ES102" s="435" t="e">
        <f>SUBTOTAL(109,Tabla24105711[Columna7])</f>
        <v>#DIV/0!</v>
      </c>
      <c r="ET102" s="435" t="e">
        <f>SUBTOTAL(109,Tabla24105711[Columna8])</f>
        <v>#DIV/0!</v>
      </c>
      <c r="EU102" s="435" t="e">
        <f>SUBTOTAL(109,Tabla24105711[Columna9])</f>
        <v>#DIV/0!</v>
      </c>
      <c r="EV102" s="435" t="e">
        <f>SUBTOTAL(109,Tabla24105711[Columna10])</f>
        <v>#DIV/0!</v>
      </c>
      <c r="EW102" s="435" t="e">
        <f>SUBTOTAL(109,Tabla24105711[Columna11])</f>
        <v>#DIV/0!</v>
      </c>
      <c r="EX102" s="435" t="e">
        <f>SUBTOTAL(109,Tabla24105711[Columna12])</f>
        <v>#DIV/0!</v>
      </c>
      <c r="EY102" s="435" t="e">
        <f>SUBTOTAL(109,Tabla24105711[Columna13])</f>
        <v>#DIV/0!</v>
      </c>
      <c r="EZ102" s="435" t="e">
        <f>SUBTOTAL(109,Tabla24105711[Columna14])</f>
        <v>#DIV/0!</v>
      </c>
      <c r="FA102" s="435" t="e">
        <f>SUBTOTAL(109,Tabla24105711[Columna15])</f>
        <v>#DIV/0!</v>
      </c>
      <c r="FB102" s="435" t="e">
        <f>SUBTOTAL(109,Tabla24105711[Columna16])</f>
        <v>#DIV/0!</v>
      </c>
      <c r="FD102" s="397" t="s">
        <v>157</v>
      </c>
      <c r="FE102" s="399" t="s">
        <v>154</v>
      </c>
      <c r="FF102" s="400">
        <f t="shared" si="330"/>
        <v>0</v>
      </c>
      <c r="FG102" s="400">
        <f t="shared" si="330"/>
        <v>0</v>
      </c>
      <c r="FH102" s="400">
        <f t="shared" si="330"/>
        <v>0</v>
      </c>
      <c r="FI102" s="400">
        <f t="shared" si="330"/>
        <v>0</v>
      </c>
      <c r="FJ102" s="400">
        <f t="shared" si="330"/>
        <v>0</v>
      </c>
      <c r="FK102" s="400">
        <f t="shared" si="330"/>
        <v>0</v>
      </c>
      <c r="FL102" s="400">
        <f t="shared" si="330"/>
        <v>0</v>
      </c>
      <c r="FM102" s="400">
        <f t="shared" si="330"/>
        <v>0</v>
      </c>
      <c r="FN102" s="400">
        <f t="shared" si="330"/>
        <v>0</v>
      </c>
      <c r="FO102" s="400">
        <f t="shared" si="330"/>
        <v>0</v>
      </c>
      <c r="FP102" s="400">
        <f t="shared" si="330"/>
        <v>0</v>
      </c>
      <c r="FQ102" s="400">
        <f t="shared" si="330"/>
        <v>0</v>
      </c>
      <c r="FR102" s="363">
        <f t="shared" si="331"/>
        <v>0</v>
      </c>
      <c r="FS102" s="260" t="e">
        <f t="shared" si="323"/>
        <v>#DIV/0!</v>
      </c>
      <c r="FV102" s="324" t="s">
        <v>18</v>
      </c>
      <c r="FW102" s="325" t="e">
        <f>$FF$380*FW99</f>
        <v>#DIV/0!</v>
      </c>
      <c r="FX102" s="325" t="e">
        <f>$FG$380*FX99</f>
        <v>#DIV/0!</v>
      </c>
      <c r="FY102" s="325" t="e">
        <f>$FH$380*FY99</f>
        <v>#DIV/0!</v>
      </c>
      <c r="FZ102" s="325" t="e">
        <f>$FI$380*FZ99</f>
        <v>#DIV/0!</v>
      </c>
      <c r="GA102" s="325" t="e">
        <f>$FJ$380*GA99</f>
        <v>#DIV/0!</v>
      </c>
      <c r="GB102" s="325" t="e">
        <f>$FK$380*GB99</f>
        <v>#DIV/0!</v>
      </c>
      <c r="GC102" s="325" t="e">
        <f>$FL$380*GC99</f>
        <v>#DIV/0!</v>
      </c>
      <c r="GD102" s="325" t="e">
        <f>$FM$380*GD99</f>
        <v>#DIV/0!</v>
      </c>
      <c r="GE102" s="325" t="e">
        <f>$FN$380*GE99</f>
        <v>#DIV/0!</v>
      </c>
      <c r="GF102" s="325" t="e">
        <f>$FO$380*GF99</f>
        <v>#DIV/0!</v>
      </c>
      <c r="GG102" s="325" t="e">
        <f>$FP$380*GG99</f>
        <v>#DIV/0!</v>
      </c>
      <c r="GH102" s="325" t="e">
        <f>$FQ$380*GH99</f>
        <v>#DIV/0!</v>
      </c>
      <c r="GI102" s="309" t="e">
        <f t="shared" si="329"/>
        <v>#DIV/0!</v>
      </c>
      <c r="GJ102" s="262" t="e">
        <f t="shared" si="333"/>
        <v>#DIV/0!</v>
      </c>
      <c r="HD102" s="509" t="s">
        <v>565</v>
      </c>
      <c r="HE102" s="509"/>
      <c r="HF102" s="509"/>
      <c r="HG102" s="509"/>
      <c r="HH102" s="82">
        <f>HH100+HH101</f>
        <v>0</v>
      </c>
      <c r="HI102" s="51"/>
    </row>
    <row r="103" spans="39:217" ht="14.4" customHeight="1" thickTop="1" x14ac:dyDescent="0.3">
      <c r="FD103" s="397" t="s">
        <v>159</v>
      </c>
      <c r="FE103" s="399" t="s">
        <v>156</v>
      </c>
      <c r="FF103" s="400">
        <f t="shared" si="330"/>
        <v>0</v>
      </c>
      <c r="FG103" s="400">
        <f t="shared" si="330"/>
        <v>0</v>
      </c>
      <c r="FH103" s="400">
        <f t="shared" si="330"/>
        <v>0</v>
      </c>
      <c r="FI103" s="400">
        <f t="shared" si="330"/>
        <v>0</v>
      </c>
      <c r="FJ103" s="400">
        <f t="shared" si="330"/>
        <v>0</v>
      </c>
      <c r="FK103" s="400">
        <f t="shared" si="330"/>
        <v>0</v>
      </c>
      <c r="FL103" s="400">
        <f t="shared" si="330"/>
        <v>0</v>
      </c>
      <c r="FM103" s="400">
        <f t="shared" si="330"/>
        <v>0</v>
      </c>
      <c r="FN103" s="400">
        <f t="shared" si="330"/>
        <v>0</v>
      </c>
      <c r="FO103" s="400">
        <f t="shared" si="330"/>
        <v>0</v>
      </c>
      <c r="FP103" s="400">
        <f t="shared" si="330"/>
        <v>0</v>
      </c>
      <c r="FQ103" s="400">
        <f t="shared" si="330"/>
        <v>0</v>
      </c>
      <c r="FR103" s="363">
        <f t="shared" si="331"/>
        <v>0</v>
      </c>
      <c r="FS103" s="260" t="e">
        <f t="shared" si="323"/>
        <v>#DIV/0!</v>
      </c>
      <c r="FV103" s="307" t="s">
        <v>19</v>
      </c>
      <c r="FW103" s="308" t="e">
        <f>FW101-FW102</f>
        <v>#DIV/0!</v>
      </c>
      <c r="FX103" s="308" t="e">
        <f t="shared" ref="FX103:GH103" si="334">FX101-FX102</f>
        <v>#DIV/0!</v>
      </c>
      <c r="FY103" s="308" t="e">
        <f t="shared" si="334"/>
        <v>#DIV/0!</v>
      </c>
      <c r="FZ103" s="308" t="e">
        <f t="shared" si="334"/>
        <v>#DIV/0!</v>
      </c>
      <c r="GA103" s="308" t="e">
        <f t="shared" si="334"/>
        <v>#DIV/0!</v>
      </c>
      <c r="GB103" s="308" t="e">
        <f t="shared" si="334"/>
        <v>#DIV/0!</v>
      </c>
      <c r="GC103" s="308" t="e">
        <f t="shared" si="334"/>
        <v>#DIV/0!</v>
      </c>
      <c r="GD103" s="308" t="e">
        <f t="shared" si="334"/>
        <v>#DIV/0!</v>
      </c>
      <c r="GE103" s="308" t="e">
        <f t="shared" si="334"/>
        <v>#DIV/0!</v>
      </c>
      <c r="GF103" s="308" t="e">
        <f t="shared" si="334"/>
        <v>#DIV/0!</v>
      </c>
      <c r="GG103" s="308" t="e">
        <f t="shared" si="334"/>
        <v>#DIV/0!</v>
      </c>
      <c r="GH103" s="308" t="e">
        <f t="shared" si="334"/>
        <v>#DIV/0!</v>
      </c>
      <c r="GI103" s="309" t="e">
        <f t="shared" si="329"/>
        <v>#DIV/0!</v>
      </c>
      <c r="GJ103" s="262" t="e">
        <f t="shared" si="333"/>
        <v>#DIV/0!</v>
      </c>
      <c r="HD103" s="83"/>
      <c r="HE103" s="510"/>
      <c r="HF103" s="510"/>
      <c r="HG103" s="54"/>
      <c r="HH103" s="84"/>
      <c r="HI103" s="51"/>
    </row>
    <row r="104" spans="39:217" ht="14.4" customHeight="1" x14ac:dyDescent="0.3">
      <c r="FD104" s="397" t="s">
        <v>161</v>
      </c>
      <c r="FE104" s="399" t="s">
        <v>158</v>
      </c>
      <c r="FF104" s="400">
        <f t="shared" si="330"/>
        <v>0</v>
      </c>
      <c r="FG104" s="400">
        <f t="shared" si="330"/>
        <v>0</v>
      </c>
      <c r="FH104" s="400">
        <f t="shared" si="330"/>
        <v>0</v>
      </c>
      <c r="FI104" s="400">
        <f t="shared" si="330"/>
        <v>0</v>
      </c>
      <c r="FJ104" s="400">
        <f t="shared" si="330"/>
        <v>0</v>
      </c>
      <c r="FK104" s="400">
        <f t="shared" si="330"/>
        <v>0</v>
      </c>
      <c r="FL104" s="400">
        <f t="shared" si="330"/>
        <v>0</v>
      </c>
      <c r="FM104" s="400">
        <f t="shared" si="330"/>
        <v>0</v>
      </c>
      <c r="FN104" s="400">
        <f t="shared" si="330"/>
        <v>0</v>
      </c>
      <c r="FO104" s="400">
        <f t="shared" si="330"/>
        <v>0</v>
      </c>
      <c r="FP104" s="400">
        <f t="shared" si="330"/>
        <v>0</v>
      </c>
      <c r="FQ104" s="400">
        <f t="shared" si="330"/>
        <v>0</v>
      </c>
      <c r="FR104" s="363">
        <f t="shared" si="331"/>
        <v>0</v>
      </c>
      <c r="FS104" s="260" t="e">
        <f t="shared" si="323"/>
        <v>#DIV/0!</v>
      </c>
      <c r="FX104" s="351"/>
      <c r="FY104" s="351"/>
      <c r="FZ104" s="351"/>
      <c r="GA104" s="351"/>
      <c r="GB104" s="351"/>
      <c r="GC104" s="351"/>
      <c r="GD104" s="351"/>
      <c r="GE104" s="351"/>
      <c r="GF104" s="351"/>
      <c r="GG104" s="351"/>
      <c r="GH104" s="351"/>
      <c r="GJ104" s="262"/>
      <c r="HD104" s="502"/>
      <c r="HE104" s="502"/>
      <c r="HF104" s="502"/>
      <c r="HG104" s="502"/>
      <c r="HH104" s="51"/>
      <c r="HI104" s="51"/>
    </row>
    <row r="105" spans="39:217" ht="14.4" customHeight="1" x14ac:dyDescent="0.3">
      <c r="FD105" s="397" t="s">
        <v>163</v>
      </c>
      <c r="FE105" s="399" t="s">
        <v>160</v>
      </c>
      <c r="FF105" s="400">
        <f t="shared" si="330"/>
        <v>0</v>
      </c>
      <c r="FG105" s="400">
        <f t="shared" si="330"/>
        <v>0</v>
      </c>
      <c r="FH105" s="400">
        <f t="shared" si="330"/>
        <v>0</v>
      </c>
      <c r="FI105" s="400">
        <f t="shared" si="330"/>
        <v>0</v>
      </c>
      <c r="FJ105" s="400">
        <f t="shared" si="330"/>
        <v>0</v>
      </c>
      <c r="FK105" s="400">
        <f t="shared" si="330"/>
        <v>0</v>
      </c>
      <c r="FL105" s="400">
        <f t="shared" si="330"/>
        <v>0</v>
      </c>
      <c r="FM105" s="400">
        <f t="shared" si="330"/>
        <v>0</v>
      </c>
      <c r="FN105" s="400">
        <f t="shared" si="330"/>
        <v>0</v>
      </c>
      <c r="FO105" s="400">
        <f t="shared" si="330"/>
        <v>0</v>
      </c>
      <c r="FP105" s="400">
        <f t="shared" si="330"/>
        <v>0</v>
      </c>
      <c r="FQ105" s="400">
        <f t="shared" si="330"/>
        <v>0</v>
      </c>
      <c r="FR105" s="363">
        <f t="shared" si="331"/>
        <v>0</v>
      </c>
      <c r="FS105" s="260" t="e">
        <f t="shared" si="323"/>
        <v>#DIV/0!</v>
      </c>
      <c r="FV105" s="307" t="s">
        <v>280</v>
      </c>
      <c r="FW105" s="355" t="e">
        <f>($FF$12*(1+GH97+GH96+GD97))+(FW101*(GD96+GD95))</f>
        <v>#DIV/0!</v>
      </c>
      <c r="FX105" s="355" t="e">
        <f>($FG$12*(1+GH97+GH96+GD97))+(FX101*(GD96+GD95))</f>
        <v>#DIV/0!</v>
      </c>
      <c r="FY105" s="355" t="e">
        <f>($FH$12*(1+GH97+GH96+GD97))+(FY101*(GD96+GD95))</f>
        <v>#DIV/0!</v>
      </c>
      <c r="FZ105" s="355" t="e">
        <f>($FI$12*(1+GH97+GH96+GD97))+(FZ101*(GD96+GD95))</f>
        <v>#DIV/0!</v>
      </c>
      <c r="GA105" s="355" t="e">
        <f>($FJ$12*(1+GH97+GH96+GD97))+(GA101*(GD96+GD95))</f>
        <v>#DIV/0!</v>
      </c>
      <c r="GB105" s="355" t="e">
        <f>($FK$12*(1+GH97+GH96+GD97))+(GB101*(GD96+GD95))</f>
        <v>#DIV/0!</v>
      </c>
      <c r="GC105" s="355" t="e">
        <f>($FL$12*(1+GH97+GH96+GD97))+(GC101*(GD96+GD95))</f>
        <v>#DIV/0!</v>
      </c>
      <c r="GD105" s="355" t="e">
        <f>($FM$12*(1+GH97+GH96+GD97))+(GD101*(GD96+GD95))</f>
        <v>#DIV/0!</v>
      </c>
      <c r="GE105" s="355" t="e">
        <f>($FN$12*(1+GH97+GH96+GD97))+(GE101*(GD96+GD95))</f>
        <v>#DIV/0!</v>
      </c>
      <c r="GF105" s="355" t="e">
        <f>($FO$12*(1+GH97+GH96+GD97))+(GF101*(GD96+GD95))</f>
        <v>#DIV/0!</v>
      </c>
      <c r="GG105" s="355" t="e">
        <f>($FP$12*(1+GH97+GH96+GD97))+(GG101*(GD96+GD95))</f>
        <v>#DIV/0!</v>
      </c>
      <c r="GH105" s="355" t="e">
        <f>($FQ$12*(1+GH97+GH96+GD97))+(GH101*(GD96+GD95))</f>
        <v>#DIV/0!</v>
      </c>
      <c r="GI105" s="355" t="e">
        <f>SUM(FW105:GH105)</f>
        <v>#DIV/0!</v>
      </c>
      <c r="GJ105" s="262" t="e">
        <f t="shared" ref="GJ105:GJ106" si="335">GI105/$GI$6</f>
        <v>#DIV/0!</v>
      </c>
    </row>
    <row r="106" spans="39:217" ht="14.4" customHeight="1" x14ac:dyDescent="0.3">
      <c r="FD106" s="397" t="s">
        <v>165</v>
      </c>
      <c r="FE106" s="399" t="s">
        <v>162</v>
      </c>
      <c r="FF106" s="400">
        <f t="shared" si="330"/>
        <v>0</v>
      </c>
      <c r="FG106" s="400">
        <f t="shared" si="330"/>
        <v>0</v>
      </c>
      <c r="FH106" s="400">
        <f t="shared" si="330"/>
        <v>0</v>
      </c>
      <c r="FI106" s="400">
        <f t="shared" si="330"/>
        <v>0</v>
      </c>
      <c r="FJ106" s="400">
        <f t="shared" si="330"/>
        <v>0</v>
      </c>
      <c r="FK106" s="400">
        <f t="shared" si="330"/>
        <v>0</v>
      </c>
      <c r="FL106" s="400">
        <f t="shared" si="330"/>
        <v>0</v>
      </c>
      <c r="FM106" s="400">
        <f t="shared" si="330"/>
        <v>0</v>
      </c>
      <c r="FN106" s="400">
        <f t="shared" si="330"/>
        <v>0</v>
      </c>
      <c r="FO106" s="400">
        <f t="shared" si="330"/>
        <v>0</v>
      </c>
      <c r="FP106" s="400">
        <f t="shared" si="330"/>
        <v>0</v>
      </c>
      <c r="FQ106" s="400">
        <f t="shared" si="330"/>
        <v>0</v>
      </c>
      <c r="FR106" s="363">
        <f t="shared" si="331"/>
        <v>0</v>
      </c>
      <c r="FS106" s="260" t="e">
        <f t="shared" si="323"/>
        <v>#DIV/0!</v>
      </c>
      <c r="FV106" s="357" t="s">
        <v>449</v>
      </c>
      <c r="FW106" s="358" t="e">
        <f>FW103-FW105</f>
        <v>#DIV/0!</v>
      </c>
      <c r="FX106" s="358" t="e">
        <f t="shared" ref="FX106:GH106" si="336">FX103-FX105</f>
        <v>#DIV/0!</v>
      </c>
      <c r="FY106" s="358" t="e">
        <f t="shared" si="336"/>
        <v>#DIV/0!</v>
      </c>
      <c r="FZ106" s="358" t="e">
        <f t="shared" si="336"/>
        <v>#DIV/0!</v>
      </c>
      <c r="GA106" s="358" t="e">
        <f t="shared" si="336"/>
        <v>#DIV/0!</v>
      </c>
      <c r="GB106" s="358" t="e">
        <f t="shared" si="336"/>
        <v>#DIV/0!</v>
      </c>
      <c r="GC106" s="358" t="e">
        <f t="shared" si="336"/>
        <v>#DIV/0!</v>
      </c>
      <c r="GD106" s="358" t="e">
        <f t="shared" si="336"/>
        <v>#DIV/0!</v>
      </c>
      <c r="GE106" s="358" t="e">
        <f t="shared" si="336"/>
        <v>#DIV/0!</v>
      </c>
      <c r="GF106" s="358" t="e">
        <f t="shared" si="336"/>
        <v>#DIV/0!</v>
      </c>
      <c r="GG106" s="358" t="e">
        <f t="shared" si="336"/>
        <v>#DIV/0!</v>
      </c>
      <c r="GH106" s="358" t="e">
        <f t="shared" si="336"/>
        <v>#DIV/0!</v>
      </c>
      <c r="GI106" s="309" t="e">
        <f>SUM(FW106:GH106)</f>
        <v>#DIV/0!</v>
      </c>
      <c r="GJ106" s="262" t="e">
        <f t="shared" si="335"/>
        <v>#DIV/0!</v>
      </c>
    </row>
    <row r="107" spans="39:217" ht="14.4" customHeight="1" x14ac:dyDescent="0.3">
      <c r="FD107" s="397" t="s">
        <v>166</v>
      </c>
      <c r="FE107" s="399" t="s">
        <v>164</v>
      </c>
      <c r="FF107" s="400">
        <f t="shared" si="330"/>
        <v>0</v>
      </c>
      <c r="FG107" s="400">
        <f t="shared" si="330"/>
        <v>0</v>
      </c>
      <c r="FH107" s="400">
        <f t="shared" si="330"/>
        <v>0</v>
      </c>
      <c r="FI107" s="400">
        <f t="shared" si="330"/>
        <v>0</v>
      </c>
      <c r="FJ107" s="400">
        <f t="shared" si="330"/>
        <v>0</v>
      </c>
      <c r="FK107" s="400">
        <f t="shared" si="330"/>
        <v>0</v>
      </c>
      <c r="FL107" s="400">
        <f t="shared" si="330"/>
        <v>0</v>
      </c>
      <c r="FM107" s="400">
        <f t="shared" si="330"/>
        <v>0</v>
      </c>
      <c r="FN107" s="400">
        <f t="shared" si="330"/>
        <v>0</v>
      </c>
      <c r="FO107" s="400">
        <f t="shared" si="330"/>
        <v>0</v>
      </c>
      <c r="FP107" s="400">
        <f t="shared" si="330"/>
        <v>0</v>
      </c>
      <c r="FQ107" s="400">
        <f t="shared" si="330"/>
        <v>0</v>
      </c>
      <c r="FR107" s="363">
        <f t="shared" si="331"/>
        <v>0</v>
      </c>
      <c r="FS107" s="260" t="e">
        <f t="shared" si="323"/>
        <v>#DIV/0!</v>
      </c>
      <c r="FV107" s="361"/>
      <c r="FW107" s="362"/>
      <c r="FX107" s="362"/>
      <c r="FY107" s="362"/>
      <c r="FZ107" s="362"/>
      <c r="GA107" s="362"/>
      <c r="GB107" s="362"/>
      <c r="GC107" s="362"/>
      <c r="GD107" s="362"/>
      <c r="GE107" s="362"/>
      <c r="GF107" s="362"/>
      <c r="GG107" s="362"/>
      <c r="GH107" s="362"/>
      <c r="GI107" s="362"/>
      <c r="GJ107" s="365"/>
      <c r="HD107" s="208" t="str">
        <f>HD5</f>
        <v>HABILITACIÓN DE LA UNIDAD</v>
      </c>
      <c r="HE107" s="545">
        <f>HH9</f>
        <v>0</v>
      </c>
      <c r="HF107" s="545"/>
      <c r="HG107" s="436" t="e">
        <f>HE107/$HE$113</f>
        <v>#DIV/0!</v>
      </c>
    </row>
    <row r="108" spans="39:217" ht="14.4" customHeight="1" x14ac:dyDescent="0.3">
      <c r="FD108" s="397" t="s">
        <v>167</v>
      </c>
      <c r="FE108" s="399" t="s">
        <v>849</v>
      </c>
      <c r="FF108" s="400">
        <f t="shared" si="330"/>
        <v>0</v>
      </c>
      <c r="FG108" s="400">
        <f t="shared" si="330"/>
        <v>0</v>
      </c>
      <c r="FH108" s="400">
        <f t="shared" si="330"/>
        <v>0</v>
      </c>
      <c r="FI108" s="400">
        <f t="shared" si="330"/>
        <v>0</v>
      </c>
      <c r="FJ108" s="400">
        <f t="shared" si="330"/>
        <v>0</v>
      </c>
      <c r="FK108" s="400">
        <f t="shared" si="330"/>
        <v>0</v>
      </c>
      <c r="FL108" s="400">
        <f t="shared" si="330"/>
        <v>0</v>
      </c>
      <c r="FM108" s="400">
        <f t="shared" si="330"/>
        <v>0</v>
      </c>
      <c r="FN108" s="400">
        <f t="shared" si="330"/>
        <v>0</v>
      </c>
      <c r="FO108" s="400">
        <f t="shared" si="330"/>
        <v>0</v>
      </c>
      <c r="FP108" s="400">
        <f t="shared" si="330"/>
        <v>0</v>
      </c>
      <c r="FQ108" s="400">
        <f t="shared" si="330"/>
        <v>0</v>
      </c>
      <c r="FR108" s="363">
        <f t="shared" si="331"/>
        <v>0</v>
      </c>
      <c r="FS108" s="260" t="e">
        <f t="shared" si="323"/>
        <v>#DIV/0!</v>
      </c>
      <c r="FV108" s="357" t="s">
        <v>249</v>
      </c>
      <c r="FW108" s="366" t="e">
        <f>FW101*GD94</f>
        <v>#DIV/0!</v>
      </c>
      <c r="FX108" s="366" t="e">
        <f>FX101*GD94</f>
        <v>#DIV/0!</v>
      </c>
      <c r="FY108" s="366" t="e">
        <f>FY101*GD94</f>
        <v>#DIV/0!</v>
      </c>
      <c r="FZ108" s="366" t="e">
        <f>FZ101*GD94</f>
        <v>#DIV/0!</v>
      </c>
      <c r="GA108" s="366" t="e">
        <f>GA101*GD94</f>
        <v>#DIV/0!</v>
      </c>
      <c r="GB108" s="366" t="e">
        <f>GB101*GD94</f>
        <v>#DIV/0!</v>
      </c>
      <c r="GC108" s="366" t="e">
        <f>GC101*GD94</f>
        <v>#DIV/0!</v>
      </c>
      <c r="GD108" s="366" t="e">
        <f>GD101*GD94</f>
        <v>#DIV/0!</v>
      </c>
      <c r="GE108" s="366" t="e">
        <f>GE101*GD94</f>
        <v>#DIV/0!</v>
      </c>
      <c r="GF108" s="366" t="e">
        <f>GF101*GD94</f>
        <v>#DIV/0!</v>
      </c>
      <c r="GG108" s="366" t="e">
        <f>GG101*GD94</f>
        <v>#DIV/0!</v>
      </c>
      <c r="GH108" s="366" t="e">
        <f>GH101*GD94</f>
        <v>#DIV/0!</v>
      </c>
      <c r="GI108" s="309" t="e">
        <f t="shared" ref="GI108" si="337">SUM(FW108:GH108)</f>
        <v>#DIV/0!</v>
      </c>
      <c r="GJ108" s="262" t="e">
        <f>GI108/$GI$6</f>
        <v>#DIV/0!</v>
      </c>
      <c r="GK108" s="550"/>
      <c r="HD108" s="209" t="str">
        <f>HD14</f>
        <v>AREA DE COCINA</v>
      </c>
      <c r="HE108" s="545">
        <f>HF14</f>
        <v>0</v>
      </c>
      <c r="HF108" s="545"/>
      <c r="HG108" s="436" t="e">
        <f t="shared" ref="HG108:HG113" si="338">HE108/$HE$113</f>
        <v>#DIV/0!</v>
      </c>
    </row>
    <row r="109" spans="39:217" ht="14.4" customHeight="1" x14ac:dyDescent="0.3">
      <c r="FD109" s="429" t="s">
        <v>168</v>
      </c>
      <c r="FE109" s="399" t="s">
        <v>850</v>
      </c>
      <c r="FF109" s="400">
        <f t="shared" si="330"/>
        <v>0</v>
      </c>
      <c r="FG109" s="400">
        <f t="shared" si="330"/>
        <v>0</v>
      </c>
      <c r="FH109" s="400">
        <f t="shared" si="330"/>
        <v>0</v>
      </c>
      <c r="FI109" s="400">
        <f t="shared" si="330"/>
        <v>0</v>
      </c>
      <c r="FJ109" s="400">
        <f t="shared" si="330"/>
        <v>0</v>
      </c>
      <c r="FK109" s="400">
        <f t="shared" si="330"/>
        <v>0</v>
      </c>
      <c r="FL109" s="400">
        <f t="shared" si="330"/>
        <v>0</v>
      </c>
      <c r="FM109" s="400">
        <f t="shared" si="330"/>
        <v>0</v>
      </c>
      <c r="FN109" s="400">
        <f t="shared" si="330"/>
        <v>0</v>
      </c>
      <c r="FO109" s="400">
        <f t="shared" si="330"/>
        <v>0</v>
      </c>
      <c r="FP109" s="400">
        <f t="shared" si="330"/>
        <v>0</v>
      </c>
      <c r="FQ109" s="400">
        <f t="shared" si="330"/>
        <v>0</v>
      </c>
      <c r="FR109" s="363">
        <f t="shared" si="331"/>
        <v>0</v>
      </c>
      <c r="FS109" s="260" t="e">
        <f t="shared" si="323"/>
        <v>#DIV/0!</v>
      </c>
      <c r="FV109" s="361"/>
      <c r="FW109" s="362"/>
      <c r="FX109" s="362"/>
      <c r="FY109" s="362"/>
      <c r="FZ109" s="362"/>
      <c r="GA109" s="362"/>
      <c r="GB109" s="362"/>
      <c r="GC109" s="362"/>
      <c r="GD109" s="362"/>
      <c r="GE109" s="362"/>
      <c r="GF109" s="362"/>
      <c r="GG109" s="362"/>
      <c r="GH109" s="362"/>
      <c r="GI109" s="362"/>
      <c r="GJ109" s="365"/>
      <c r="HD109" s="209" t="str">
        <f>HD45</f>
        <v>AREA DE CAJA</v>
      </c>
      <c r="HE109" s="545">
        <f>HF45</f>
        <v>0</v>
      </c>
      <c r="HF109" s="545"/>
      <c r="HG109" s="436" t="e">
        <f t="shared" si="338"/>
        <v>#DIV/0!</v>
      </c>
    </row>
    <row r="110" spans="39:217" ht="14.4" customHeight="1" x14ac:dyDescent="0.3">
      <c r="FD110" s="397" t="s">
        <v>170</v>
      </c>
      <c r="FE110" s="399" t="s">
        <v>851</v>
      </c>
      <c r="FF110" s="400">
        <f t="shared" si="330"/>
        <v>0</v>
      </c>
      <c r="FG110" s="400">
        <f t="shared" si="330"/>
        <v>0</v>
      </c>
      <c r="FH110" s="400">
        <f t="shared" si="330"/>
        <v>0</v>
      </c>
      <c r="FI110" s="400">
        <f t="shared" si="330"/>
        <v>0</v>
      </c>
      <c r="FJ110" s="400">
        <f t="shared" si="330"/>
        <v>0</v>
      </c>
      <c r="FK110" s="400">
        <f t="shared" si="330"/>
        <v>0</v>
      </c>
      <c r="FL110" s="400">
        <f t="shared" si="330"/>
        <v>0</v>
      </c>
      <c r="FM110" s="400">
        <f t="shared" si="330"/>
        <v>0</v>
      </c>
      <c r="FN110" s="400">
        <f t="shared" si="330"/>
        <v>0</v>
      </c>
      <c r="FO110" s="400">
        <f t="shared" si="330"/>
        <v>0</v>
      </c>
      <c r="FP110" s="400">
        <f t="shared" si="330"/>
        <v>0</v>
      </c>
      <c r="FQ110" s="400">
        <f t="shared" si="330"/>
        <v>0</v>
      </c>
      <c r="FR110" s="363">
        <f t="shared" si="331"/>
        <v>0</v>
      </c>
      <c r="FS110" s="260" t="e">
        <f t="shared" si="323"/>
        <v>#DIV/0!</v>
      </c>
      <c r="FV110" s="357" t="s">
        <v>451</v>
      </c>
      <c r="FW110" s="358" t="e">
        <f>+FW106-FW108</f>
        <v>#DIV/0!</v>
      </c>
      <c r="FX110" s="358" t="e">
        <f t="shared" ref="FX110:GH110" si="339">+FX106-FX108</f>
        <v>#DIV/0!</v>
      </c>
      <c r="FY110" s="358" t="e">
        <f t="shared" si="339"/>
        <v>#DIV/0!</v>
      </c>
      <c r="FZ110" s="358" t="e">
        <f t="shared" si="339"/>
        <v>#DIV/0!</v>
      </c>
      <c r="GA110" s="358" t="e">
        <f t="shared" si="339"/>
        <v>#DIV/0!</v>
      </c>
      <c r="GB110" s="358" t="e">
        <f t="shared" si="339"/>
        <v>#DIV/0!</v>
      </c>
      <c r="GC110" s="358" t="e">
        <f t="shared" si="339"/>
        <v>#DIV/0!</v>
      </c>
      <c r="GD110" s="358" t="e">
        <f t="shared" si="339"/>
        <v>#DIV/0!</v>
      </c>
      <c r="GE110" s="358" t="e">
        <f t="shared" si="339"/>
        <v>#DIV/0!</v>
      </c>
      <c r="GF110" s="358" t="e">
        <f t="shared" si="339"/>
        <v>#DIV/0!</v>
      </c>
      <c r="GG110" s="358" t="e">
        <f t="shared" si="339"/>
        <v>#DIV/0!</v>
      </c>
      <c r="GH110" s="358" t="e">
        <f t="shared" si="339"/>
        <v>#DIV/0!</v>
      </c>
      <c r="GI110" s="309" t="e">
        <f t="shared" ref="GI110" si="340">SUM(FW110:GH110)</f>
        <v>#DIV/0!</v>
      </c>
      <c r="GJ110" s="262" t="e">
        <f>GI110/$GI$6</f>
        <v>#DIV/0!</v>
      </c>
      <c r="HD110" s="209" t="str">
        <f>HD71</f>
        <v>AREA DE SERVICIO AL CLIENTE</v>
      </c>
      <c r="HE110" s="545">
        <f>HF71</f>
        <v>0</v>
      </c>
      <c r="HF110" s="545"/>
      <c r="HG110" s="436" t="e">
        <f t="shared" si="338"/>
        <v>#DIV/0!</v>
      </c>
    </row>
    <row r="111" spans="39:217" ht="14.4" customHeight="1" x14ac:dyDescent="0.3">
      <c r="FD111" s="397" t="s">
        <v>172</v>
      </c>
      <c r="FE111" s="357" t="s">
        <v>169</v>
      </c>
      <c r="FF111" s="325">
        <f>SUM(FF112:FF125)</f>
        <v>0</v>
      </c>
      <c r="FG111" s="325">
        <f t="shared" ref="FG111:FQ111" si="341">SUM(FG112:FG125)</f>
        <v>0</v>
      </c>
      <c r="FH111" s="325">
        <f t="shared" si="341"/>
        <v>0</v>
      </c>
      <c r="FI111" s="325">
        <f t="shared" si="341"/>
        <v>0</v>
      </c>
      <c r="FJ111" s="325">
        <f t="shared" si="341"/>
        <v>0</v>
      </c>
      <c r="FK111" s="325">
        <f t="shared" si="341"/>
        <v>0</v>
      </c>
      <c r="FL111" s="325">
        <f t="shared" si="341"/>
        <v>0</v>
      </c>
      <c r="FM111" s="325">
        <f t="shared" si="341"/>
        <v>0</v>
      </c>
      <c r="FN111" s="325">
        <f t="shared" si="341"/>
        <v>0</v>
      </c>
      <c r="FO111" s="325">
        <f t="shared" si="341"/>
        <v>0</v>
      </c>
      <c r="FP111" s="325">
        <f t="shared" si="341"/>
        <v>0</v>
      </c>
      <c r="FQ111" s="325">
        <f t="shared" si="341"/>
        <v>0</v>
      </c>
      <c r="FR111" s="309">
        <f t="shared" si="331"/>
        <v>0</v>
      </c>
      <c r="FS111" s="260" t="e">
        <f t="shared" si="323"/>
        <v>#DIV/0!</v>
      </c>
      <c r="FV111" s="361"/>
      <c r="FW111" s="362"/>
      <c r="FX111" s="362"/>
      <c r="FY111" s="362"/>
      <c r="FZ111" s="362"/>
      <c r="GA111" s="362"/>
      <c r="GB111" s="362"/>
      <c r="GC111" s="362"/>
      <c r="GD111" s="362"/>
      <c r="GE111" s="362"/>
      <c r="GF111" s="362"/>
      <c r="GG111" s="362"/>
      <c r="GH111" s="362"/>
      <c r="GI111" s="362"/>
      <c r="GJ111" s="365"/>
      <c r="HD111" s="208" t="str">
        <f>HD81</f>
        <v>INVENTARIO INICIAL</v>
      </c>
      <c r="HE111" s="545">
        <f>HF81</f>
        <v>0</v>
      </c>
      <c r="HF111" s="545"/>
      <c r="HG111" s="436" t="e">
        <f t="shared" si="338"/>
        <v>#DIV/0!</v>
      </c>
    </row>
    <row r="112" spans="39:217" ht="14.4" customHeight="1" x14ac:dyDescent="0.3">
      <c r="FD112" s="397" t="s">
        <v>691</v>
      </c>
      <c r="FE112" s="399" t="s">
        <v>171</v>
      </c>
      <c r="FF112" s="437">
        <f>FF$8*$FS112</f>
        <v>0</v>
      </c>
      <c r="FG112" s="437">
        <f t="shared" ref="FG112:FQ125" si="342">FG$8*$FS112</f>
        <v>0</v>
      </c>
      <c r="FH112" s="437">
        <f t="shared" si="342"/>
        <v>0</v>
      </c>
      <c r="FI112" s="437">
        <f t="shared" si="342"/>
        <v>0</v>
      </c>
      <c r="FJ112" s="437">
        <f t="shared" si="342"/>
        <v>0</v>
      </c>
      <c r="FK112" s="437">
        <f t="shared" si="342"/>
        <v>0</v>
      </c>
      <c r="FL112" s="437">
        <f t="shared" si="342"/>
        <v>0</v>
      </c>
      <c r="FM112" s="437">
        <f t="shared" si="342"/>
        <v>0</v>
      </c>
      <c r="FN112" s="437">
        <f t="shared" si="342"/>
        <v>0</v>
      </c>
      <c r="FO112" s="437">
        <f t="shared" si="342"/>
        <v>0</v>
      </c>
      <c r="FP112" s="437">
        <f t="shared" si="342"/>
        <v>0</v>
      </c>
      <c r="FQ112" s="437">
        <f t="shared" si="342"/>
        <v>0</v>
      </c>
      <c r="FR112" s="363">
        <f t="shared" si="331"/>
        <v>0</v>
      </c>
      <c r="FS112" s="260">
        <v>0</v>
      </c>
      <c r="FV112" s="357" t="s">
        <v>439</v>
      </c>
      <c r="FW112" s="366">
        <f>FW81+'Programación del préstamo'!$D$12</f>
        <v>0</v>
      </c>
      <c r="FX112" s="366">
        <f>FX81+'Programación del préstamo'!$D$13</f>
        <v>0</v>
      </c>
      <c r="FY112" s="366">
        <f>FY81+'Programación del préstamo'!$D$14</f>
        <v>0</v>
      </c>
      <c r="FZ112" s="366">
        <f>FZ81+'Programación del préstamo'!$D$15</f>
        <v>0</v>
      </c>
      <c r="GA112" s="366">
        <f t="shared" ref="GA112:GH112" si="343">GA81</f>
        <v>0</v>
      </c>
      <c r="GB112" s="366">
        <f t="shared" si="343"/>
        <v>0</v>
      </c>
      <c r="GC112" s="366">
        <f t="shared" si="343"/>
        <v>0</v>
      </c>
      <c r="GD112" s="366">
        <f t="shared" si="343"/>
        <v>0</v>
      </c>
      <c r="GE112" s="366">
        <f t="shared" si="343"/>
        <v>0</v>
      </c>
      <c r="GF112" s="366">
        <f t="shared" si="343"/>
        <v>0</v>
      </c>
      <c r="GG112" s="366">
        <f t="shared" si="343"/>
        <v>0</v>
      </c>
      <c r="GH112" s="366">
        <f t="shared" si="343"/>
        <v>0</v>
      </c>
      <c r="GI112" s="309">
        <f t="shared" ref="GI112" si="344">SUM(FW112:GH112)</f>
        <v>0</v>
      </c>
      <c r="GJ112" s="262" t="e">
        <f>GI112/$GI$6</f>
        <v>#DIV/0!</v>
      </c>
      <c r="HD112" s="208" t="str">
        <f>HD90</f>
        <v>GASTOS DE PREAPERTURA</v>
      </c>
      <c r="HE112" s="545">
        <f>HE98</f>
        <v>0</v>
      </c>
      <c r="HF112" s="545"/>
      <c r="HG112" s="436" t="e">
        <f t="shared" si="338"/>
        <v>#DIV/0!</v>
      </c>
    </row>
    <row r="113" spans="160:215" ht="14.4" customHeight="1" x14ac:dyDescent="0.3">
      <c r="FD113" s="397" t="s">
        <v>692</v>
      </c>
      <c r="FE113" s="399" t="s">
        <v>173</v>
      </c>
      <c r="FF113" s="437">
        <f t="shared" ref="FF113:FF125" si="345">FF$8*$FS113</f>
        <v>0</v>
      </c>
      <c r="FG113" s="437">
        <f t="shared" si="342"/>
        <v>0</v>
      </c>
      <c r="FH113" s="437">
        <f t="shared" si="342"/>
        <v>0</v>
      </c>
      <c r="FI113" s="437">
        <f t="shared" si="342"/>
        <v>0</v>
      </c>
      <c r="FJ113" s="437">
        <f t="shared" si="342"/>
        <v>0</v>
      </c>
      <c r="FK113" s="437">
        <f t="shared" si="342"/>
        <v>0</v>
      </c>
      <c r="FL113" s="437">
        <f t="shared" si="342"/>
        <v>0</v>
      </c>
      <c r="FM113" s="437">
        <f t="shared" si="342"/>
        <v>0</v>
      </c>
      <c r="FN113" s="437">
        <f t="shared" si="342"/>
        <v>0</v>
      </c>
      <c r="FO113" s="437">
        <f t="shared" si="342"/>
        <v>0</v>
      </c>
      <c r="FP113" s="437">
        <f t="shared" si="342"/>
        <v>0</v>
      </c>
      <c r="FQ113" s="437">
        <f t="shared" si="342"/>
        <v>0</v>
      </c>
      <c r="FR113" s="363">
        <f t="shared" si="331"/>
        <v>0</v>
      </c>
      <c r="FS113" s="260">
        <v>0</v>
      </c>
      <c r="FV113" s="361"/>
      <c r="FW113" s="362"/>
      <c r="FX113" s="362"/>
      <c r="FY113" s="362"/>
      <c r="FZ113" s="362"/>
      <c r="GA113" s="362"/>
      <c r="GB113" s="362"/>
      <c r="GC113" s="362"/>
      <c r="GD113" s="362"/>
      <c r="GE113" s="362"/>
      <c r="GF113" s="362"/>
      <c r="GG113" s="362"/>
      <c r="GH113" s="362"/>
      <c r="GI113" s="362"/>
      <c r="GJ113" s="365"/>
      <c r="HD113" s="438" t="str">
        <f>HD102</f>
        <v>Costo Total Aproximado</v>
      </c>
      <c r="HE113" s="544">
        <f>SUM(HE107:HF112)</f>
        <v>0</v>
      </c>
      <c r="HF113" s="544"/>
      <c r="HG113" s="436" t="e">
        <f t="shared" si="338"/>
        <v>#DIV/0!</v>
      </c>
    </row>
    <row r="114" spans="160:215" ht="14.4" customHeight="1" x14ac:dyDescent="0.3">
      <c r="FD114" s="397" t="s">
        <v>693</v>
      </c>
      <c r="FE114" s="399" t="s">
        <v>175</v>
      </c>
      <c r="FF114" s="437">
        <f t="shared" si="345"/>
        <v>0</v>
      </c>
      <c r="FG114" s="437">
        <f t="shared" si="342"/>
        <v>0</v>
      </c>
      <c r="FH114" s="437">
        <f t="shared" si="342"/>
        <v>0</v>
      </c>
      <c r="FI114" s="437">
        <f t="shared" si="342"/>
        <v>0</v>
      </c>
      <c r="FJ114" s="437">
        <f t="shared" si="342"/>
        <v>0</v>
      </c>
      <c r="FK114" s="437">
        <f t="shared" si="342"/>
        <v>0</v>
      </c>
      <c r="FL114" s="437">
        <f t="shared" si="342"/>
        <v>0</v>
      </c>
      <c r="FM114" s="437">
        <f t="shared" si="342"/>
        <v>0</v>
      </c>
      <c r="FN114" s="437">
        <f t="shared" si="342"/>
        <v>0</v>
      </c>
      <c r="FO114" s="437">
        <f t="shared" si="342"/>
        <v>0</v>
      </c>
      <c r="FP114" s="437">
        <f t="shared" si="342"/>
        <v>0</v>
      </c>
      <c r="FQ114" s="437">
        <f t="shared" si="342"/>
        <v>0</v>
      </c>
      <c r="FR114" s="363">
        <f t="shared" si="331"/>
        <v>0</v>
      </c>
      <c r="FS114" s="260">
        <v>0</v>
      </c>
      <c r="FV114" s="357" t="s">
        <v>252</v>
      </c>
      <c r="FW114" s="358" t="e">
        <f>+FW110-FW112</f>
        <v>#DIV/0!</v>
      </c>
      <c r="FX114" s="358" t="e">
        <f t="shared" ref="FX114:GH114" si="346">+FX110-FX112</f>
        <v>#DIV/0!</v>
      </c>
      <c r="FY114" s="358" t="e">
        <f t="shared" si="346"/>
        <v>#DIV/0!</v>
      </c>
      <c r="FZ114" s="358" t="e">
        <f t="shared" si="346"/>
        <v>#DIV/0!</v>
      </c>
      <c r="GA114" s="358" t="e">
        <f t="shared" si="346"/>
        <v>#DIV/0!</v>
      </c>
      <c r="GB114" s="358" t="e">
        <f t="shared" si="346"/>
        <v>#DIV/0!</v>
      </c>
      <c r="GC114" s="358" t="e">
        <f t="shared" si="346"/>
        <v>#DIV/0!</v>
      </c>
      <c r="GD114" s="358" t="e">
        <f t="shared" si="346"/>
        <v>#DIV/0!</v>
      </c>
      <c r="GE114" s="358" t="e">
        <f t="shared" si="346"/>
        <v>#DIV/0!</v>
      </c>
      <c r="GF114" s="358" t="e">
        <f t="shared" si="346"/>
        <v>#DIV/0!</v>
      </c>
      <c r="GG114" s="358" t="e">
        <f t="shared" si="346"/>
        <v>#DIV/0!</v>
      </c>
      <c r="GH114" s="358" t="e">
        <f t="shared" si="346"/>
        <v>#DIV/0!</v>
      </c>
      <c r="GI114" s="309" t="e">
        <f t="shared" ref="GI114" si="347">SUM(FW114:GH114)</f>
        <v>#DIV/0!</v>
      </c>
      <c r="GJ114" s="262" t="e">
        <f>GI114/$GI$6</f>
        <v>#DIV/0!</v>
      </c>
    </row>
    <row r="115" spans="160:215" ht="14.4" customHeight="1" x14ac:dyDescent="0.3">
      <c r="FD115" s="397" t="s">
        <v>694</v>
      </c>
      <c r="FE115" s="399" t="s">
        <v>177</v>
      </c>
      <c r="FF115" s="437">
        <f t="shared" si="345"/>
        <v>0</v>
      </c>
      <c r="FG115" s="437">
        <f t="shared" si="342"/>
        <v>0</v>
      </c>
      <c r="FH115" s="437">
        <f t="shared" si="342"/>
        <v>0</v>
      </c>
      <c r="FI115" s="437">
        <f t="shared" si="342"/>
        <v>0</v>
      </c>
      <c r="FJ115" s="437">
        <f t="shared" si="342"/>
        <v>0</v>
      </c>
      <c r="FK115" s="437">
        <f t="shared" si="342"/>
        <v>0</v>
      </c>
      <c r="FL115" s="437">
        <f t="shared" si="342"/>
        <v>0</v>
      </c>
      <c r="FM115" s="437">
        <f t="shared" si="342"/>
        <v>0</v>
      </c>
      <c r="FN115" s="437">
        <f t="shared" si="342"/>
        <v>0</v>
      </c>
      <c r="FO115" s="437">
        <f t="shared" si="342"/>
        <v>0</v>
      </c>
      <c r="FP115" s="437">
        <f t="shared" si="342"/>
        <v>0</v>
      </c>
      <c r="FQ115" s="437">
        <f t="shared" si="342"/>
        <v>0</v>
      </c>
      <c r="FR115" s="363">
        <f t="shared" si="331"/>
        <v>0</v>
      </c>
      <c r="FS115" s="260">
        <v>3.1250000000000001E-4</v>
      </c>
      <c r="FV115" s="361"/>
      <c r="FW115" s="362"/>
      <c r="FX115" s="362"/>
      <c r="FY115" s="362"/>
      <c r="FZ115" s="362"/>
      <c r="GA115" s="362"/>
      <c r="GB115" s="362"/>
      <c r="GC115" s="362"/>
      <c r="GD115" s="362"/>
      <c r="GE115" s="362"/>
      <c r="GF115" s="362"/>
      <c r="GG115" s="362"/>
      <c r="GH115" s="362"/>
      <c r="GI115" s="362"/>
      <c r="GJ115" s="387"/>
    </row>
    <row r="116" spans="160:215" ht="14.4" customHeight="1" x14ac:dyDescent="0.3">
      <c r="FD116" s="397" t="s">
        <v>695</v>
      </c>
      <c r="FE116" s="399" t="s">
        <v>705</v>
      </c>
      <c r="FF116" s="437">
        <f t="shared" si="345"/>
        <v>0</v>
      </c>
      <c r="FG116" s="437">
        <f t="shared" si="342"/>
        <v>0</v>
      </c>
      <c r="FH116" s="437">
        <f t="shared" si="342"/>
        <v>0</v>
      </c>
      <c r="FI116" s="437">
        <f t="shared" si="342"/>
        <v>0</v>
      </c>
      <c r="FJ116" s="437">
        <f t="shared" si="342"/>
        <v>0</v>
      </c>
      <c r="FK116" s="437">
        <f t="shared" si="342"/>
        <v>0</v>
      </c>
      <c r="FL116" s="437">
        <f t="shared" si="342"/>
        <v>0</v>
      </c>
      <c r="FM116" s="437">
        <f t="shared" si="342"/>
        <v>0</v>
      </c>
      <c r="FN116" s="437">
        <f t="shared" si="342"/>
        <v>0</v>
      </c>
      <c r="FO116" s="437">
        <f t="shared" si="342"/>
        <v>0</v>
      </c>
      <c r="FP116" s="437">
        <f t="shared" si="342"/>
        <v>0</v>
      </c>
      <c r="FQ116" s="437">
        <f t="shared" si="342"/>
        <v>0</v>
      </c>
      <c r="FR116" s="363">
        <f t="shared" si="331"/>
        <v>0</v>
      </c>
      <c r="FS116" s="260">
        <v>4.6874999999999998E-4</v>
      </c>
      <c r="FV116" s="357" t="s">
        <v>739</v>
      </c>
      <c r="FW116" s="366">
        <f t="shared" ref="FW116:GH116" si="348">$HK$18</f>
        <v>-1.6666666666666666E-2</v>
      </c>
      <c r="FX116" s="366">
        <f t="shared" si="348"/>
        <v>-1.6666666666666666E-2</v>
      </c>
      <c r="FY116" s="366">
        <f t="shared" si="348"/>
        <v>-1.6666666666666666E-2</v>
      </c>
      <c r="FZ116" s="366">
        <f t="shared" si="348"/>
        <v>-1.6666666666666666E-2</v>
      </c>
      <c r="GA116" s="366">
        <f t="shared" si="348"/>
        <v>-1.6666666666666666E-2</v>
      </c>
      <c r="GB116" s="366">
        <f t="shared" si="348"/>
        <v>-1.6666666666666666E-2</v>
      </c>
      <c r="GC116" s="366">
        <f t="shared" si="348"/>
        <v>-1.6666666666666666E-2</v>
      </c>
      <c r="GD116" s="366">
        <f t="shared" si="348"/>
        <v>-1.6666666666666666E-2</v>
      </c>
      <c r="GE116" s="366">
        <f t="shared" si="348"/>
        <v>-1.6666666666666666E-2</v>
      </c>
      <c r="GF116" s="366">
        <f t="shared" si="348"/>
        <v>-1.6666666666666666E-2</v>
      </c>
      <c r="GG116" s="366">
        <f t="shared" si="348"/>
        <v>-1.6666666666666666E-2</v>
      </c>
      <c r="GH116" s="366">
        <f t="shared" si="348"/>
        <v>-1.6666666666666666E-2</v>
      </c>
      <c r="GI116" s="309">
        <f t="shared" ref="GI116" si="349">SUM(FW116:GH116)</f>
        <v>-0.19999999999999998</v>
      </c>
      <c r="GJ116" s="262" t="e">
        <f>GI116/$GI$6</f>
        <v>#DIV/0!</v>
      </c>
    </row>
    <row r="117" spans="160:215" ht="14.4" customHeight="1" x14ac:dyDescent="0.3">
      <c r="FD117" s="397" t="s">
        <v>696</v>
      </c>
      <c r="FE117" s="399" t="s">
        <v>180</v>
      </c>
      <c r="FF117" s="437">
        <f t="shared" si="345"/>
        <v>0</v>
      </c>
      <c r="FG117" s="437">
        <f t="shared" si="342"/>
        <v>0</v>
      </c>
      <c r="FH117" s="437">
        <f t="shared" si="342"/>
        <v>0</v>
      </c>
      <c r="FI117" s="437">
        <f t="shared" si="342"/>
        <v>0</v>
      </c>
      <c r="FJ117" s="437">
        <f t="shared" si="342"/>
        <v>0</v>
      </c>
      <c r="FK117" s="437">
        <f t="shared" si="342"/>
        <v>0</v>
      </c>
      <c r="FL117" s="437">
        <f t="shared" si="342"/>
        <v>0</v>
      </c>
      <c r="FM117" s="437">
        <f t="shared" si="342"/>
        <v>0</v>
      </c>
      <c r="FN117" s="437">
        <f t="shared" si="342"/>
        <v>0</v>
      </c>
      <c r="FO117" s="437">
        <f t="shared" si="342"/>
        <v>0</v>
      </c>
      <c r="FP117" s="437">
        <f t="shared" si="342"/>
        <v>0</v>
      </c>
      <c r="FQ117" s="437">
        <f t="shared" si="342"/>
        <v>0</v>
      </c>
      <c r="FR117" s="363">
        <f t="shared" si="331"/>
        <v>0</v>
      </c>
      <c r="FS117" s="260">
        <v>2.0458333333333335E-3</v>
      </c>
      <c r="FX117" s="351"/>
      <c r="FY117" s="351"/>
      <c r="FZ117" s="351"/>
      <c r="GA117" s="351"/>
      <c r="GB117" s="351"/>
      <c r="GC117" s="351"/>
      <c r="GD117" s="351"/>
      <c r="GE117" s="351"/>
      <c r="GF117" s="351"/>
      <c r="GG117" s="351"/>
      <c r="GH117" s="351"/>
      <c r="GJ117" s="262"/>
    </row>
    <row r="118" spans="160:215" ht="14.4" customHeight="1" x14ac:dyDescent="0.3">
      <c r="FD118" s="397" t="s">
        <v>697</v>
      </c>
      <c r="FE118" s="399" t="s">
        <v>182</v>
      </c>
      <c r="FF118" s="437">
        <f t="shared" si="345"/>
        <v>0</v>
      </c>
      <c r="FG118" s="437">
        <f t="shared" si="342"/>
        <v>0</v>
      </c>
      <c r="FH118" s="437">
        <f t="shared" si="342"/>
        <v>0</v>
      </c>
      <c r="FI118" s="437">
        <f t="shared" si="342"/>
        <v>0</v>
      </c>
      <c r="FJ118" s="437">
        <f t="shared" si="342"/>
        <v>0</v>
      </c>
      <c r="FK118" s="437">
        <f t="shared" si="342"/>
        <v>0</v>
      </c>
      <c r="FL118" s="437">
        <f t="shared" si="342"/>
        <v>0</v>
      </c>
      <c r="FM118" s="437">
        <f t="shared" si="342"/>
        <v>0</v>
      </c>
      <c r="FN118" s="437">
        <f t="shared" si="342"/>
        <v>0</v>
      </c>
      <c r="FO118" s="437">
        <f t="shared" si="342"/>
        <v>0</v>
      </c>
      <c r="FP118" s="437">
        <f t="shared" si="342"/>
        <v>0</v>
      </c>
      <c r="FQ118" s="437">
        <f t="shared" si="342"/>
        <v>0</v>
      </c>
      <c r="FR118" s="363">
        <f t="shared" si="331"/>
        <v>0</v>
      </c>
      <c r="FS118" s="260">
        <v>1.8229166666666668E-5</v>
      </c>
      <c r="FV118" s="357" t="s">
        <v>440</v>
      </c>
      <c r="FW118" s="366" t="e">
        <f>MAX(FW101*1%,(FW114-FW116)*30%)</f>
        <v>#DIV/0!</v>
      </c>
      <c r="FX118" s="366" t="e">
        <f t="shared" ref="FX118:GH118" si="350">MAX(FX101*1%,(FX114-FX116)*30%)</f>
        <v>#DIV/0!</v>
      </c>
      <c r="FY118" s="366" t="e">
        <f t="shared" si="350"/>
        <v>#DIV/0!</v>
      </c>
      <c r="FZ118" s="366" t="e">
        <f t="shared" si="350"/>
        <v>#DIV/0!</v>
      </c>
      <c r="GA118" s="366" t="e">
        <f t="shared" si="350"/>
        <v>#DIV/0!</v>
      </c>
      <c r="GB118" s="366" t="e">
        <f t="shared" si="350"/>
        <v>#DIV/0!</v>
      </c>
      <c r="GC118" s="366" t="e">
        <f t="shared" si="350"/>
        <v>#DIV/0!</v>
      </c>
      <c r="GD118" s="366" t="e">
        <f t="shared" si="350"/>
        <v>#DIV/0!</v>
      </c>
      <c r="GE118" s="366" t="e">
        <f t="shared" si="350"/>
        <v>#DIV/0!</v>
      </c>
      <c r="GF118" s="366" t="e">
        <f t="shared" si="350"/>
        <v>#DIV/0!</v>
      </c>
      <c r="GG118" s="366" t="e">
        <f t="shared" si="350"/>
        <v>#DIV/0!</v>
      </c>
      <c r="GH118" s="366" t="e">
        <f t="shared" si="350"/>
        <v>#DIV/0!</v>
      </c>
      <c r="GI118" s="309" t="e">
        <f>SUM(FW118:GH118)</f>
        <v>#DIV/0!</v>
      </c>
      <c r="GJ118" s="262" t="e">
        <f>GI118/$GI$6</f>
        <v>#DIV/0!</v>
      </c>
    </row>
    <row r="119" spans="160:215" ht="14.4" customHeight="1" x14ac:dyDescent="0.3">
      <c r="FD119" s="397" t="s">
        <v>698</v>
      </c>
      <c r="FE119" s="399" t="s">
        <v>706</v>
      </c>
      <c r="FF119" s="437">
        <f t="shared" si="345"/>
        <v>0</v>
      </c>
      <c r="FG119" s="437">
        <f t="shared" si="342"/>
        <v>0</v>
      </c>
      <c r="FH119" s="437">
        <f t="shared" si="342"/>
        <v>0</v>
      </c>
      <c r="FI119" s="437">
        <f t="shared" si="342"/>
        <v>0</v>
      </c>
      <c r="FJ119" s="437">
        <f t="shared" si="342"/>
        <v>0</v>
      </c>
      <c r="FK119" s="437">
        <f t="shared" si="342"/>
        <v>0</v>
      </c>
      <c r="FL119" s="437">
        <f t="shared" si="342"/>
        <v>0</v>
      </c>
      <c r="FM119" s="437">
        <f t="shared" si="342"/>
        <v>0</v>
      </c>
      <c r="FN119" s="437">
        <f t="shared" si="342"/>
        <v>0</v>
      </c>
      <c r="FO119" s="437">
        <f t="shared" si="342"/>
        <v>0</v>
      </c>
      <c r="FP119" s="437">
        <f t="shared" si="342"/>
        <v>0</v>
      </c>
      <c r="FQ119" s="437">
        <f t="shared" si="342"/>
        <v>0</v>
      </c>
      <c r="FR119" s="363">
        <f t="shared" si="331"/>
        <v>0</v>
      </c>
      <c r="FS119" s="260">
        <v>1.5625000000000001E-3</v>
      </c>
      <c r="FV119" s="362"/>
      <c r="FW119" s="362"/>
      <c r="FX119" s="362"/>
      <c r="FY119" s="362"/>
      <c r="FZ119" s="362"/>
      <c r="GA119" s="362"/>
      <c r="GB119" s="362"/>
      <c r="GC119" s="362"/>
      <c r="GD119" s="362"/>
      <c r="GE119" s="362"/>
      <c r="GF119" s="362"/>
      <c r="GG119" s="362"/>
      <c r="GH119" s="362"/>
      <c r="GI119" s="362"/>
      <c r="GJ119" s="387"/>
    </row>
    <row r="120" spans="160:215" ht="14.4" customHeight="1" x14ac:dyDescent="0.3">
      <c r="FD120" s="397" t="s">
        <v>699</v>
      </c>
      <c r="FE120" s="399" t="s">
        <v>185</v>
      </c>
      <c r="FF120" s="437">
        <f t="shared" si="345"/>
        <v>0</v>
      </c>
      <c r="FG120" s="437">
        <f t="shared" si="342"/>
        <v>0</v>
      </c>
      <c r="FH120" s="437">
        <f t="shared" si="342"/>
        <v>0</v>
      </c>
      <c r="FI120" s="437">
        <f t="shared" si="342"/>
        <v>0</v>
      </c>
      <c r="FJ120" s="437">
        <f t="shared" si="342"/>
        <v>0</v>
      </c>
      <c r="FK120" s="437">
        <f t="shared" si="342"/>
        <v>0</v>
      </c>
      <c r="FL120" s="437">
        <f t="shared" si="342"/>
        <v>0</v>
      </c>
      <c r="FM120" s="437">
        <f t="shared" si="342"/>
        <v>0</v>
      </c>
      <c r="FN120" s="437">
        <f t="shared" si="342"/>
        <v>0</v>
      </c>
      <c r="FO120" s="437">
        <f t="shared" si="342"/>
        <v>0</v>
      </c>
      <c r="FP120" s="437">
        <f t="shared" si="342"/>
        <v>0</v>
      </c>
      <c r="FQ120" s="437">
        <f t="shared" si="342"/>
        <v>0</v>
      </c>
      <c r="FR120" s="363">
        <f t="shared" si="331"/>
        <v>0</v>
      </c>
      <c r="FS120" s="260">
        <v>1.7614583333333333E-2</v>
      </c>
      <c r="FV120" s="357" t="s">
        <v>441</v>
      </c>
      <c r="FW120" s="358" t="e">
        <f>FW114-FW116-FW118</f>
        <v>#DIV/0!</v>
      </c>
      <c r="FX120" s="358" t="e">
        <f t="shared" ref="FX120:GH120" si="351">FX114-FX116-FX118</f>
        <v>#DIV/0!</v>
      </c>
      <c r="FY120" s="358" t="e">
        <f t="shared" si="351"/>
        <v>#DIV/0!</v>
      </c>
      <c r="FZ120" s="358" t="e">
        <f t="shared" si="351"/>
        <v>#DIV/0!</v>
      </c>
      <c r="GA120" s="358" t="e">
        <f t="shared" si="351"/>
        <v>#DIV/0!</v>
      </c>
      <c r="GB120" s="358" t="e">
        <f t="shared" si="351"/>
        <v>#DIV/0!</v>
      </c>
      <c r="GC120" s="358" t="e">
        <f t="shared" si="351"/>
        <v>#DIV/0!</v>
      </c>
      <c r="GD120" s="358" t="e">
        <f t="shared" si="351"/>
        <v>#DIV/0!</v>
      </c>
      <c r="GE120" s="358" t="e">
        <f t="shared" si="351"/>
        <v>#DIV/0!</v>
      </c>
      <c r="GF120" s="358" t="e">
        <f t="shared" si="351"/>
        <v>#DIV/0!</v>
      </c>
      <c r="GG120" s="358" t="e">
        <f t="shared" si="351"/>
        <v>#DIV/0!</v>
      </c>
      <c r="GH120" s="358" t="e">
        <f t="shared" si="351"/>
        <v>#DIV/0!</v>
      </c>
      <c r="GI120" s="309" t="e">
        <f>SUM(FW120:GH120)</f>
        <v>#DIV/0!</v>
      </c>
      <c r="GJ120" s="262" t="e">
        <f>GI120/$GI$6</f>
        <v>#DIV/0!</v>
      </c>
    </row>
    <row r="121" spans="160:215" ht="14.4" customHeight="1" x14ac:dyDescent="0.3">
      <c r="FD121" s="397" t="s">
        <v>700</v>
      </c>
      <c r="FE121" s="399" t="s">
        <v>187</v>
      </c>
      <c r="FF121" s="437">
        <f t="shared" si="345"/>
        <v>0</v>
      </c>
      <c r="FG121" s="437">
        <f t="shared" si="342"/>
        <v>0</v>
      </c>
      <c r="FH121" s="437">
        <f t="shared" si="342"/>
        <v>0</v>
      </c>
      <c r="FI121" s="437">
        <f t="shared" si="342"/>
        <v>0</v>
      </c>
      <c r="FJ121" s="437">
        <f t="shared" si="342"/>
        <v>0</v>
      </c>
      <c r="FK121" s="437">
        <f t="shared" si="342"/>
        <v>0</v>
      </c>
      <c r="FL121" s="437">
        <f t="shared" si="342"/>
        <v>0</v>
      </c>
      <c r="FM121" s="437">
        <f t="shared" si="342"/>
        <v>0</v>
      </c>
      <c r="FN121" s="437">
        <f t="shared" si="342"/>
        <v>0</v>
      </c>
      <c r="FO121" s="437">
        <f t="shared" si="342"/>
        <v>0</v>
      </c>
      <c r="FP121" s="437">
        <f t="shared" si="342"/>
        <v>0</v>
      </c>
      <c r="FQ121" s="437">
        <f t="shared" si="342"/>
        <v>0</v>
      </c>
      <c r="FR121" s="363">
        <f t="shared" si="331"/>
        <v>0</v>
      </c>
      <c r="FS121" s="260">
        <v>2.5000000000000001E-4</v>
      </c>
      <c r="FW121" s="260" t="e">
        <f>FW120/FW99</f>
        <v>#DIV/0!</v>
      </c>
      <c r="FX121" s="260" t="e">
        <f t="shared" ref="FX121:GH121" si="352">FX120/FX99</f>
        <v>#DIV/0!</v>
      </c>
      <c r="FY121" s="260" t="e">
        <f t="shared" si="352"/>
        <v>#DIV/0!</v>
      </c>
      <c r="FZ121" s="260" t="e">
        <f t="shared" si="352"/>
        <v>#DIV/0!</v>
      </c>
      <c r="GA121" s="260" t="e">
        <f t="shared" si="352"/>
        <v>#DIV/0!</v>
      </c>
      <c r="GB121" s="260" t="e">
        <f t="shared" si="352"/>
        <v>#DIV/0!</v>
      </c>
      <c r="GC121" s="260" t="e">
        <f t="shared" si="352"/>
        <v>#DIV/0!</v>
      </c>
      <c r="GD121" s="260" t="e">
        <f t="shared" si="352"/>
        <v>#DIV/0!</v>
      </c>
      <c r="GE121" s="260" t="e">
        <f t="shared" si="352"/>
        <v>#DIV/0!</v>
      </c>
      <c r="GF121" s="260" t="e">
        <f t="shared" si="352"/>
        <v>#DIV/0!</v>
      </c>
      <c r="GG121" s="260" t="e">
        <f t="shared" si="352"/>
        <v>#DIV/0!</v>
      </c>
      <c r="GH121" s="260" t="e">
        <f t="shared" si="352"/>
        <v>#DIV/0!</v>
      </c>
      <c r="GI121" s="362" t="e">
        <f>GI114-GI118</f>
        <v>#DIV/0!</v>
      </c>
      <c r="GJ121" s="262"/>
    </row>
    <row r="122" spans="160:215" ht="14.4" customHeight="1" x14ac:dyDescent="0.3">
      <c r="FD122" s="397" t="s">
        <v>701</v>
      </c>
      <c r="FE122" s="399" t="s">
        <v>189</v>
      </c>
      <c r="FF122" s="437">
        <f t="shared" si="345"/>
        <v>0</v>
      </c>
      <c r="FG122" s="437">
        <f t="shared" si="342"/>
        <v>0</v>
      </c>
      <c r="FH122" s="437">
        <f t="shared" si="342"/>
        <v>0</v>
      </c>
      <c r="FI122" s="437">
        <f t="shared" si="342"/>
        <v>0</v>
      </c>
      <c r="FJ122" s="437">
        <f t="shared" si="342"/>
        <v>0</v>
      </c>
      <c r="FK122" s="437">
        <f t="shared" si="342"/>
        <v>0</v>
      </c>
      <c r="FL122" s="437">
        <f t="shared" si="342"/>
        <v>0</v>
      </c>
      <c r="FM122" s="437">
        <f t="shared" si="342"/>
        <v>0</v>
      </c>
      <c r="FN122" s="437">
        <f t="shared" si="342"/>
        <v>0</v>
      </c>
      <c r="FO122" s="437">
        <f t="shared" si="342"/>
        <v>0</v>
      </c>
      <c r="FP122" s="437">
        <f t="shared" si="342"/>
        <v>0</v>
      </c>
      <c r="FQ122" s="437">
        <f t="shared" si="342"/>
        <v>0</v>
      </c>
      <c r="FR122" s="363">
        <f t="shared" si="331"/>
        <v>0</v>
      </c>
      <c r="FS122" s="260">
        <v>3.1250000000000001E-4</v>
      </c>
      <c r="FX122" s="351"/>
      <c r="FY122" s="351"/>
      <c r="FZ122" s="351"/>
      <c r="GA122" s="351"/>
      <c r="GB122" s="351"/>
      <c r="GC122" s="351"/>
      <c r="GD122" s="351"/>
      <c r="GE122" s="351"/>
      <c r="GF122" s="351"/>
      <c r="GG122" s="351"/>
      <c r="GH122" s="351"/>
      <c r="GJ122" s="262"/>
    </row>
    <row r="123" spans="160:215" ht="14.4" customHeight="1" x14ac:dyDescent="0.3">
      <c r="FD123" s="397" t="s">
        <v>702</v>
      </c>
      <c r="FE123" s="399" t="s">
        <v>707</v>
      </c>
      <c r="FF123" s="437">
        <f t="shared" si="345"/>
        <v>0</v>
      </c>
      <c r="FG123" s="437">
        <f t="shared" si="342"/>
        <v>0</v>
      </c>
      <c r="FH123" s="437">
        <f t="shared" si="342"/>
        <v>0</v>
      </c>
      <c r="FI123" s="437">
        <f t="shared" si="342"/>
        <v>0</v>
      </c>
      <c r="FJ123" s="437">
        <f t="shared" si="342"/>
        <v>0</v>
      </c>
      <c r="FK123" s="437">
        <f t="shared" si="342"/>
        <v>0</v>
      </c>
      <c r="FL123" s="437">
        <f t="shared" si="342"/>
        <v>0</v>
      </c>
      <c r="FM123" s="437">
        <f t="shared" si="342"/>
        <v>0</v>
      </c>
      <c r="FN123" s="437">
        <f t="shared" si="342"/>
        <v>0</v>
      </c>
      <c r="FO123" s="437">
        <f t="shared" si="342"/>
        <v>0</v>
      </c>
      <c r="FP123" s="437">
        <f t="shared" si="342"/>
        <v>0</v>
      </c>
      <c r="FQ123" s="437">
        <f t="shared" si="342"/>
        <v>0</v>
      </c>
      <c r="FR123" s="363">
        <f t="shared" si="331"/>
        <v>0</v>
      </c>
      <c r="FS123" s="260">
        <v>2.1874999999999998E-4</v>
      </c>
      <c r="FX123" s="351"/>
      <c r="FY123" s="351"/>
      <c r="FZ123" s="351"/>
      <c r="GA123" s="351"/>
      <c r="GB123" s="351"/>
      <c r="GC123" s="351"/>
      <c r="GD123" s="351"/>
      <c r="GE123" s="351"/>
      <c r="GF123" s="351"/>
      <c r="GG123" s="351"/>
      <c r="GH123" s="351"/>
      <c r="GJ123" s="262"/>
    </row>
    <row r="124" spans="160:215" ht="14.4" customHeight="1" x14ac:dyDescent="0.3">
      <c r="FD124" s="397" t="s">
        <v>703</v>
      </c>
      <c r="FE124" s="399" t="s">
        <v>192</v>
      </c>
      <c r="FF124" s="437">
        <f t="shared" si="345"/>
        <v>0</v>
      </c>
      <c r="FG124" s="437">
        <f t="shared" si="342"/>
        <v>0</v>
      </c>
      <c r="FH124" s="437">
        <f t="shared" si="342"/>
        <v>0</v>
      </c>
      <c r="FI124" s="437">
        <f t="shared" si="342"/>
        <v>0</v>
      </c>
      <c r="FJ124" s="437">
        <f t="shared" si="342"/>
        <v>0</v>
      </c>
      <c r="FK124" s="437">
        <f t="shared" si="342"/>
        <v>0</v>
      </c>
      <c r="FL124" s="437">
        <f t="shared" si="342"/>
        <v>0</v>
      </c>
      <c r="FM124" s="437">
        <f t="shared" si="342"/>
        <v>0</v>
      </c>
      <c r="FN124" s="437">
        <f t="shared" si="342"/>
        <v>0</v>
      </c>
      <c r="FO124" s="437">
        <f t="shared" si="342"/>
        <v>0</v>
      </c>
      <c r="FP124" s="437">
        <f t="shared" si="342"/>
        <v>0</v>
      </c>
      <c r="FQ124" s="437">
        <f t="shared" si="342"/>
        <v>0</v>
      </c>
      <c r="FR124" s="363">
        <f t="shared" si="331"/>
        <v>0</v>
      </c>
      <c r="FS124" s="260">
        <v>3.1250000000000001E-4</v>
      </c>
      <c r="FX124" s="351"/>
      <c r="FY124" s="351"/>
      <c r="FZ124" s="351"/>
      <c r="GA124" s="351"/>
      <c r="GB124" s="351"/>
      <c r="GC124" s="351"/>
      <c r="GD124" s="351"/>
      <c r="GE124" s="351"/>
      <c r="GF124" s="351"/>
      <c r="GG124" s="351"/>
      <c r="GH124" s="351"/>
      <c r="GJ124" s="262"/>
    </row>
    <row r="125" spans="160:215" ht="14.4" customHeight="1" x14ac:dyDescent="0.3">
      <c r="FD125" s="397" t="s">
        <v>704</v>
      </c>
      <c r="FE125" s="399" t="s">
        <v>194</v>
      </c>
      <c r="FF125" s="437">
        <f t="shared" si="345"/>
        <v>0</v>
      </c>
      <c r="FG125" s="437">
        <f t="shared" si="342"/>
        <v>0</v>
      </c>
      <c r="FH125" s="437">
        <f t="shared" si="342"/>
        <v>0</v>
      </c>
      <c r="FI125" s="437">
        <f t="shared" si="342"/>
        <v>0</v>
      </c>
      <c r="FJ125" s="437">
        <f t="shared" si="342"/>
        <v>0</v>
      </c>
      <c r="FK125" s="437">
        <f t="shared" si="342"/>
        <v>0</v>
      </c>
      <c r="FL125" s="437">
        <f t="shared" si="342"/>
        <v>0</v>
      </c>
      <c r="FM125" s="437">
        <f t="shared" si="342"/>
        <v>0</v>
      </c>
      <c r="FN125" s="437">
        <f t="shared" si="342"/>
        <v>0</v>
      </c>
      <c r="FO125" s="437">
        <f t="shared" si="342"/>
        <v>0</v>
      </c>
      <c r="FP125" s="437">
        <f t="shared" si="342"/>
        <v>0</v>
      </c>
      <c r="FQ125" s="437">
        <f t="shared" si="342"/>
        <v>0</v>
      </c>
      <c r="FR125" s="363">
        <f t="shared" si="331"/>
        <v>0</v>
      </c>
      <c r="FS125" s="260"/>
      <c r="FX125" s="351"/>
      <c r="FY125" s="351"/>
      <c r="FZ125" s="351"/>
      <c r="GA125" s="351"/>
      <c r="GB125" s="351"/>
      <c r="GC125" s="351"/>
      <c r="GD125" s="351"/>
      <c r="GE125" s="351"/>
      <c r="GF125" s="351"/>
      <c r="GG125" s="351"/>
      <c r="GH125" s="351"/>
      <c r="GJ125" s="262"/>
    </row>
    <row r="126" spans="160:215" ht="14.4" customHeight="1" x14ac:dyDescent="0.3">
      <c r="FD126" s="397" t="s">
        <v>199</v>
      </c>
      <c r="FE126" s="357" t="s">
        <v>196</v>
      </c>
      <c r="FF126" s="325">
        <f>SUM(FF127:FF137)</f>
        <v>0</v>
      </c>
      <c r="FG126" s="325">
        <f t="shared" ref="FG126:FQ126" si="353">SUM(FG127:FG137)</f>
        <v>0</v>
      </c>
      <c r="FH126" s="325">
        <f t="shared" si="353"/>
        <v>0</v>
      </c>
      <c r="FI126" s="325">
        <f t="shared" si="353"/>
        <v>0</v>
      </c>
      <c r="FJ126" s="325">
        <f t="shared" si="353"/>
        <v>0</v>
      </c>
      <c r="FK126" s="325">
        <f t="shared" si="353"/>
        <v>0</v>
      </c>
      <c r="FL126" s="325">
        <f t="shared" si="353"/>
        <v>0</v>
      </c>
      <c r="FM126" s="325">
        <f t="shared" si="353"/>
        <v>0</v>
      </c>
      <c r="FN126" s="325">
        <f t="shared" si="353"/>
        <v>0</v>
      </c>
      <c r="FO126" s="325">
        <f t="shared" si="353"/>
        <v>0</v>
      </c>
      <c r="FP126" s="325">
        <f t="shared" si="353"/>
        <v>0</v>
      </c>
      <c r="FQ126" s="325">
        <f t="shared" si="353"/>
        <v>0</v>
      </c>
      <c r="FR126" s="309">
        <f t="shared" si="331"/>
        <v>0</v>
      </c>
      <c r="FS126" s="260" t="e">
        <f t="shared" si="323"/>
        <v>#DIV/0!</v>
      </c>
      <c r="FX126" s="351"/>
      <c r="FY126" s="351"/>
      <c r="FZ126" s="351"/>
      <c r="GA126" s="351"/>
      <c r="GB126" s="351"/>
      <c r="GC126" s="351"/>
      <c r="GD126" s="351"/>
      <c r="GE126" s="351"/>
      <c r="GF126" s="351"/>
      <c r="GG126" s="351"/>
      <c r="GH126" s="351"/>
      <c r="GJ126" s="262"/>
    </row>
    <row r="127" spans="160:215" ht="14.4" customHeight="1" x14ac:dyDescent="0.3">
      <c r="FD127" s="397" t="s">
        <v>201</v>
      </c>
      <c r="FE127" s="399" t="s">
        <v>198</v>
      </c>
      <c r="FF127" s="437">
        <f t="shared" ref="FF127:FQ127" si="354">FF8*$FS$300</f>
        <v>0</v>
      </c>
      <c r="FG127" s="437">
        <f t="shared" si="354"/>
        <v>0</v>
      </c>
      <c r="FH127" s="437">
        <f t="shared" si="354"/>
        <v>0</v>
      </c>
      <c r="FI127" s="437">
        <f t="shared" si="354"/>
        <v>0</v>
      </c>
      <c r="FJ127" s="437">
        <f t="shared" si="354"/>
        <v>0</v>
      </c>
      <c r="FK127" s="437">
        <f t="shared" si="354"/>
        <v>0</v>
      </c>
      <c r="FL127" s="437">
        <f t="shared" si="354"/>
        <v>0</v>
      </c>
      <c r="FM127" s="437">
        <f t="shared" si="354"/>
        <v>0</v>
      </c>
      <c r="FN127" s="437">
        <f t="shared" si="354"/>
        <v>0</v>
      </c>
      <c r="FO127" s="437">
        <f t="shared" si="354"/>
        <v>0</v>
      </c>
      <c r="FP127" s="437">
        <f t="shared" si="354"/>
        <v>0</v>
      </c>
      <c r="FQ127" s="437">
        <f t="shared" si="354"/>
        <v>0</v>
      </c>
      <c r="FR127" s="363">
        <f t="shared" si="331"/>
        <v>0</v>
      </c>
      <c r="FS127" s="260" t="e">
        <f t="shared" si="323"/>
        <v>#DIV/0!</v>
      </c>
      <c r="FX127" s="351"/>
      <c r="FY127" s="351"/>
      <c r="FZ127" s="351"/>
      <c r="GA127" s="351"/>
      <c r="GB127" s="351"/>
      <c r="GC127" s="351"/>
      <c r="GD127" s="351"/>
      <c r="GE127" s="351"/>
      <c r="GF127" s="351"/>
      <c r="GG127" s="351"/>
      <c r="GH127" s="351"/>
      <c r="GJ127" s="262"/>
    </row>
    <row r="128" spans="160:215" ht="14.4" customHeight="1" x14ac:dyDescent="0.3">
      <c r="FD128" s="397" t="s">
        <v>203</v>
      </c>
      <c r="FE128" s="399" t="s">
        <v>200</v>
      </c>
      <c r="FF128" s="400">
        <f t="shared" ref="FF128:FQ137" si="355">+FF303/FF$376</f>
        <v>0</v>
      </c>
      <c r="FG128" s="400">
        <f t="shared" si="355"/>
        <v>0</v>
      </c>
      <c r="FH128" s="400">
        <f t="shared" si="355"/>
        <v>0</v>
      </c>
      <c r="FI128" s="400">
        <f t="shared" si="355"/>
        <v>0</v>
      </c>
      <c r="FJ128" s="400">
        <f t="shared" si="355"/>
        <v>0</v>
      </c>
      <c r="FK128" s="400">
        <f t="shared" si="355"/>
        <v>0</v>
      </c>
      <c r="FL128" s="400">
        <f t="shared" si="355"/>
        <v>0</v>
      </c>
      <c r="FM128" s="400">
        <f t="shared" si="355"/>
        <v>0</v>
      </c>
      <c r="FN128" s="400">
        <f t="shared" si="355"/>
        <v>0</v>
      </c>
      <c r="FO128" s="400">
        <f t="shared" si="355"/>
        <v>0</v>
      </c>
      <c r="FP128" s="400">
        <f t="shared" si="355"/>
        <v>0</v>
      </c>
      <c r="FQ128" s="400">
        <f t="shared" si="355"/>
        <v>0</v>
      </c>
      <c r="FR128" s="363">
        <f t="shared" si="331"/>
        <v>0</v>
      </c>
      <c r="FS128" s="260" t="e">
        <f t="shared" si="323"/>
        <v>#DIV/0!</v>
      </c>
      <c r="FX128" s="351"/>
      <c r="FY128" s="351"/>
      <c r="FZ128" s="351"/>
      <c r="GA128" s="351"/>
      <c r="GB128" s="351"/>
      <c r="GC128" s="351"/>
      <c r="GD128" s="351"/>
      <c r="GE128" s="351"/>
      <c r="GF128" s="351"/>
      <c r="GG128" s="351"/>
      <c r="GH128" s="351"/>
      <c r="GJ128" s="262"/>
    </row>
    <row r="129" spans="160:193" ht="14.4" customHeight="1" x14ac:dyDescent="0.3">
      <c r="FD129" s="397" t="s">
        <v>204</v>
      </c>
      <c r="FE129" s="399" t="s">
        <v>202</v>
      </c>
      <c r="FF129" s="400">
        <f t="shared" si="355"/>
        <v>0</v>
      </c>
      <c r="FG129" s="400">
        <f t="shared" si="355"/>
        <v>0</v>
      </c>
      <c r="FH129" s="400">
        <f t="shared" si="355"/>
        <v>0</v>
      </c>
      <c r="FI129" s="400">
        <f t="shared" si="355"/>
        <v>0</v>
      </c>
      <c r="FJ129" s="400">
        <f t="shared" si="355"/>
        <v>0</v>
      </c>
      <c r="FK129" s="400">
        <f t="shared" si="355"/>
        <v>0</v>
      </c>
      <c r="FL129" s="400">
        <f t="shared" si="355"/>
        <v>0</v>
      </c>
      <c r="FM129" s="400">
        <f t="shared" si="355"/>
        <v>0</v>
      </c>
      <c r="FN129" s="400">
        <f t="shared" si="355"/>
        <v>0</v>
      </c>
      <c r="FO129" s="400">
        <f t="shared" si="355"/>
        <v>0</v>
      </c>
      <c r="FP129" s="400">
        <f t="shared" si="355"/>
        <v>0</v>
      </c>
      <c r="FQ129" s="400">
        <f t="shared" si="355"/>
        <v>0</v>
      </c>
      <c r="FR129" s="363">
        <f t="shared" si="331"/>
        <v>0</v>
      </c>
      <c r="FS129" s="260" t="e">
        <f t="shared" si="323"/>
        <v>#DIV/0!</v>
      </c>
      <c r="FX129" s="351"/>
      <c r="FY129" s="351"/>
      <c r="FZ129" s="351"/>
      <c r="GA129" s="351"/>
      <c r="GB129" s="351"/>
      <c r="GC129" s="351"/>
      <c r="GD129" s="351"/>
      <c r="GE129" s="351"/>
      <c r="GF129" s="351"/>
      <c r="GG129" s="351"/>
      <c r="GH129" s="351"/>
      <c r="GJ129" s="262"/>
    </row>
    <row r="130" spans="160:193" ht="14.4" customHeight="1" x14ac:dyDescent="0.3">
      <c r="FD130" s="397" t="s">
        <v>206</v>
      </c>
      <c r="FE130" s="439" t="s">
        <v>282</v>
      </c>
      <c r="FF130" s="400">
        <f t="shared" si="355"/>
        <v>0</v>
      </c>
      <c r="FG130" s="400">
        <f t="shared" si="355"/>
        <v>0</v>
      </c>
      <c r="FH130" s="400">
        <f t="shared" si="355"/>
        <v>0</v>
      </c>
      <c r="FI130" s="400">
        <f t="shared" si="355"/>
        <v>0</v>
      </c>
      <c r="FJ130" s="400">
        <f t="shared" si="355"/>
        <v>0</v>
      </c>
      <c r="FK130" s="400">
        <f t="shared" si="355"/>
        <v>0</v>
      </c>
      <c r="FL130" s="400">
        <f t="shared" si="355"/>
        <v>0</v>
      </c>
      <c r="FM130" s="400">
        <f t="shared" si="355"/>
        <v>0</v>
      </c>
      <c r="FN130" s="400">
        <f t="shared" si="355"/>
        <v>0</v>
      </c>
      <c r="FO130" s="400">
        <f t="shared" si="355"/>
        <v>0</v>
      </c>
      <c r="FP130" s="400">
        <f t="shared" si="355"/>
        <v>0</v>
      </c>
      <c r="FQ130" s="400">
        <f t="shared" si="355"/>
        <v>0</v>
      </c>
      <c r="FR130" s="363">
        <f t="shared" ref="FR130:FR135" si="356">SUM(FF130:FQ130)</f>
        <v>0</v>
      </c>
      <c r="FS130" s="260" t="e">
        <f t="shared" si="323"/>
        <v>#DIV/0!</v>
      </c>
      <c r="FX130" s="351"/>
      <c r="FY130" s="351"/>
      <c r="FZ130" s="351"/>
      <c r="GA130" s="351"/>
      <c r="GB130" s="351"/>
      <c r="GC130" s="351"/>
      <c r="GD130" s="351"/>
      <c r="GE130" s="351"/>
      <c r="GF130" s="351"/>
      <c r="GG130" s="351"/>
      <c r="GH130" s="351"/>
      <c r="GJ130" s="262"/>
    </row>
    <row r="131" spans="160:193" ht="14.4" customHeight="1" x14ac:dyDescent="0.3">
      <c r="FD131" s="397" t="s">
        <v>208</v>
      </c>
      <c r="FE131" s="399" t="s">
        <v>205</v>
      </c>
      <c r="FF131" s="400">
        <f t="shared" si="355"/>
        <v>0</v>
      </c>
      <c r="FG131" s="400">
        <f t="shared" si="355"/>
        <v>0</v>
      </c>
      <c r="FH131" s="400">
        <f t="shared" si="355"/>
        <v>0</v>
      </c>
      <c r="FI131" s="400">
        <f t="shared" si="355"/>
        <v>0</v>
      </c>
      <c r="FJ131" s="400">
        <f t="shared" si="355"/>
        <v>0</v>
      </c>
      <c r="FK131" s="400">
        <f t="shared" si="355"/>
        <v>0</v>
      </c>
      <c r="FL131" s="400">
        <f t="shared" si="355"/>
        <v>0</v>
      </c>
      <c r="FM131" s="400">
        <f t="shared" si="355"/>
        <v>0</v>
      </c>
      <c r="FN131" s="400">
        <f t="shared" si="355"/>
        <v>0</v>
      </c>
      <c r="FO131" s="400">
        <f t="shared" si="355"/>
        <v>0</v>
      </c>
      <c r="FP131" s="400">
        <f t="shared" si="355"/>
        <v>0</v>
      </c>
      <c r="FQ131" s="400">
        <f t="shared" si="355"/>
        <v>0</v>
      </c>
      <c r="FR131" s="363">
        <f t="shared" si="356"/>
        <v>0</v>
      </c>
      <c r="FS131" s="260" t="e">
        <f t="shared" si="323"/>
        <v>#DIV/0!</v>
      </c>
      <c r="FX131" s="351"/>
      <c r="FY131" s="351"/>
      <c r="FZ131" s="351"/>
      <c r="GA131" s="351"/>
      <c r="GB131" s="351"/>
      <c r="GC131" s="351"/>
      <c r="GD131" s="351"/>
      <c r="GE131" s="351"/>
      <c r="GF131" s="351"/>
      <c r="GG131" s="351"/>
      <c r="GH131" s="351"/>
      <c r="GJ131" s="262"/>
    </row>
    <row r="132" spans="160:193" ht="14.4" customHeight="1" x14ac:dyDescent="0.3">
      <c r="FD132" s="397" t="s">
        <v>210</v>
      </c>
      <c r="FE132" s="399" t="s">
        <v>207</v>
      </c>
      <c r="FF132" s="400">
        <f t="shared" si="355"/>
        <v>0</v>
      </c>
      <c r="FG132" s="400">
        <f t="shared" si="355"/>
        <v>0</v>
      </c>
      <c r="FH132" s="400">
        <f t="shared" si="355"/>
        <v>0</v>
      </c>
      <c r="FI132" s="400">
        <f t="shared" si="355"/>
        <v>0</v>
      </c>
      <c r="FJ132" s="400">
        <f t="shared" si="355"/>
        <v>0</v>
      </c>
      <c r="FK132" s="400">
        <f t="shared" si="355"/>
        <v>0</v>
      </c>
      <c r="FL132" s="400">
        <f t="shared" si="355"/>
        <v>0</v>
      </c>
      <c r="FM132" s="400">
        <f t="shared" si="355"/>
        <v>0</v>
      </c>
      <c r="FN132" s="400">
        <f t="shared" si="355"/>
        <v>0</v>
      </c>
      <c r="FO132" s="400">
        <f t="shared" si="355"/>
        <v>0</v>
      </c>
      <c r="FP132" s="400">
        <f t="shared" si="355"/>
        <v>0</v>
      </c>
      <c r="FQ132" s="400">
        <f t="shared" si="355"/>
        <v>0</v>
      </c>
      <c r="FR132" s="363">
        <f t="shared" si="356"/>
        <v>0</v>
      </c>
      <c r="FS132" s="260" t="e">
        <f t="shared" si="323"/>
        <v>#DIV/0!</v>
      </c>
      <c r="FX132" s="351"/>
      <c r="FY132" s="351"/>
      <c r="FZ132" s="351"/>
      <c r="GA132" s="351"/>
      <c r="GB132" s="351"/>
      <c r="GC132" s="351"/>
      <c r="GD132" s="351"/>
      <c r="GE132" s="351"/>
      <c r="GF132" s="351"/>
      <c r="GG132" s="351"/>
      <c r="GH132" s="351"/>
      <c r="GJ132" s="262"/>
    </row>
    <row r="133" spans="160:193" ht="14.4" customHeight="1" x14ac:dyDescent="0.3">
      <c r="FD133" s="397" t="s">
        <v>211</v>
      </c>
      <c r="FE133" s="399" t="s">
        <v>209</v>
      </c>
      <c r="FF133" s="400">
        <f t="shared" si="355"/>
        <v>0</v>
      </c>
      <c r="FG133" s="400">
        <f t="shared" si="355"/>
        <v>0</v>
      </c>
      <c r="FH133" s="400">
        <f t="shared" si="355"/>
        <v>0</v>
      </c>
      <c r="FI133" s="400">
        <f t="shared" si="355"/>
        <v>0</v>
      </c>
      <c r="FJ133" s="400">
        <f t="shared" si="355"/>
        <v>0</v>
      </c>
      <c r="FK133" s="400">
        <f t="shared" si="355"/>
        <v>0</v>
      </c>
      <c r="FL133" s="400">
        <f t="shared" si="355"/>
        <v>0</v>
      </c>
      <c r="FM133" s="400">
        <f t="shared" si="355"/>
        <v>0</v>
      </c>
      <c r="FN133" s="400">
        <f t="shared" si="355"/>
        <v>0</v>
      </c>
      <c r="FO133" s="400">
        <f t="shared" si="355"/>
        <v>0</v>
      </c>
      <c r="FP133" s="400">
        <f t="shared" si="355"/>
        <v>0</v>
      </c>
      <c r="FQ133" s="400">
        <f t="shared" si="355"/>
        <v>0</v>
      </c>
      <c r="FR133" s="363">
        <f t="shared" si="356"/>
        <v>0</v>
      </c>
      <c r="FS133" s="260" t="e">
        <f t="shared" si="323"/>
        <v>#DIV/0!</v>
      </c>
      <c r="FX133" s="351"/>
      <c r="FY133" s="351"/>
      <c r="FZ133" s="351"/>
      <c r="GA133" s="351"/>
      <c r="GB133" s="351"/>
      <c r="GC133" s="351"/>
      <c r="GD133" s="351"/>
      <c r="GE133" s="351"/>
      <c r="GF133" s="351"/>
      <c r="GG133" s="351"/>
      <c r="GH133" s="351"/>
      <c r="GJ133" s="262"/>
    </row>
    <row r="134" spans="160:193" ht="14.4" customHeight="1" x14ac:dyDescent="0.3">
      <c r="FD134" s="397" t="s">
        <v>213</v>
      </c>
      <c r="FE134" s="439" t="s">
        <v>283</v>
      </c>
      <c r="FF134" s="400">
        <f t="shared" si="355"/>
        <v>0</v>
      </c>
      <c r="FG134" s="400">
        <f t="shared" si="355"/>
        <v>0</v>
      </c>
      <c r="FH134" s="400">
        <f t="shared" si="355"/>
        <v>0</v>
      </c>
      <c r="FI134" s="400">
        <f t="shared" si="355"/>
        <v>0</v>
      </c>
      <c r="FJ134" s="400">
        <f t="shared" si="355"/>
        <v>0</v>
      </c>
      <c r="FK134" s="400">
        <f t="shared" si="355"/>
        <v>0</v>
      </c>
      <c r="FL134" s="400">
        <f t="shared" si="355"/>
        <v>0</v>
      </c>
      <c r="FM134" s="400">
        <f t="shared" si="355"/>
        <v>0</v>
      </c>
      <c r="FN134" s="400">
        <f t="shared" si="355"/>
        <v>0</v>
      </c>
      <c r="FO134" s="400">
        <f t="shared" si="355"/>
        <v>0</v>
      </c>
      <c r="FP134" s="400">
        <f t="shared" si="355"/>
        <v>0</v>
      </c>
      <c r="FQ134" s="400">
        <f t="shared" si="355"/>
        <v>0</v>
      </c>
      <c r="FR134" s="363">
        <f t="shared" si="356"/>
        <v>0</v>
      </c>
      <c r="FS134" s="260" t="e">
        <f t="shared" si="323"/>
        <v>#DIV/0!</v>
      </c>
      <c r="FX134" s="351"/>
      <c r="FY134" s="351"/>
      <c r="FZ134" s="351"/>
      <c r="GA134" s="351"/>
      <c r="GB134" s="351"/>
      <c r="GC134" s="351"/>
      <c r="GD134" s="351"/>
      <c r="GE134" s="351"/>
      <c r="GF134" s="351"/>
      <c r="GG134" s="351"/>
      <c r="GH134" s="351"/>
      <c r="GJ134" s="262"/>
    </row>
    <row r="135" spans="160:193" ht="14.4" customHeight="1" x14ac:dyDescent="0.3">
      <c r="FD135" s="397" t="s">
        <v>215</v>
      </c>
      <c r="FE135" s="399" t="s">
        <v>212</v>
      </c>
      <c r="FF135" s="400">
        <f t="shared" si="355"/>
        <v>0</v>
      </c>
      <c r="FG135" s="400">
        <f t="shared" si="355"/>
        <v>0</v>
      </c>
      <c r="FH135" s="400">
        <f t="shared" si="355"/>
        <v>0</v>
      </c>
      <c r="FI135" s="400">
        <f t="shared" si="355"/>
        <v>0</v>
      </c>
      <c r="FJ135" s="400">
        <f t="shared" si="355"/>
        <v>0</v>
      </c>
      <c r="FK135" s="400">
        <f t="shared" si="355"/>
        <v>0</v>
      </c>
      <c r="FL135" s="400">
        <f t="shared" si="355"/>
        <v>0</v>
      </c>
      <c r="FM135" s="400">
        <f t="shared" si="355"/>
        <v>0</v>
      </c>
      <c r="FN135" s="400">
        <f t="shared" si="355"/>
        <v>0</v>
      </c>
      <c r="FO135" s="400">
        <f t="shared" si="355"/>
        <v>0</v>
      </c>
      <c r="FP135" s="400">
        <f t="shared" si="355"/>
        <v>0</v>
      </c>
      <c r="FQ135" s="400">
        <f t="shared" si="355"/>
        <v>0</v>
      </c>
      <c r="FR135" s="363">
        <f t="shared" si="356"/>
        <v>0</v>
      </c>
      <c r="FS135" s="260" t="e">
        <f t="shared" si="323"/>
        <v>#DIV/0!</v>
      </c>
      <c r="FX135" s="351"/>
      <c r="FY135" s="351"/>
      <c r="FZ135" s="351"/>
      <c r="GA135" s="351"/>
      <c r="GB135" s="351"/>
      <c r="GC135" s="351"/>
      <c r="GD135" s="351"/>
      <c r="GE135" s="351"/>
      <c r="GF135" s="351"/>
      <c r="GG135" s="351"/>
      <c r="GH135" s="351"/>
      <c r="GJ135" s="262"/>
    </row>
    <row r="136" spans="160:193" ht="14.4" customHeight="1" x14ac:dyDescent="0.3">
      <c r="FD136" s="429" t="s">
        <v>217</v>
      </c>
      <c r="FE136" s="399" t="s">
        <v>214</v>
      </c>
      <c r="FF136" s="400">
        <f t="shared" si="355"/>
        <v>0</v>
      </c>
      <c r="FG136" s="400">
        <f t="shared" si="355"/>
        <v>0</v>
      </c>
      <c r="FH136" s="400">
        <f t="shared" si="355"/>
        <v>0</v>
      </c>
      <c r="FI136" s="400">
        <f t="shared" si="355"/>
        <v>0</v>
      </c>
      <c r="FJ136" s="400">
        <f t="shared" si="355"/>
        <v>0</v>
      </c>
      <c r="FK136" s="400">
        <f t="shared" si="355"/>
        <v>0</v>
      </c>
      <c r="FL136" s="400">
        <f t="shared" si="355"/>
        <v>0</v>
      </c>
      <c r="FM136" s="400">
        <f t="shared" si="355"/>
        <v>0</v>
      </c>
      <c r="FN136" s="400">
        <f t="shared" si="355"/>
        <v>0</v>
      </c>
      <c r="FO136" s="400">
        <f t="shared" si="355"/>
        <v>0</v>
      </c>
      <c r="FP136" s="400">
        <f t="shared" si="355"/>
        <v>0</v>
      </c>
      <c r="FQ136" s="400">
        <f t="shared" si="355"/>
        <v>0</v>
      </c>
      <c r="FR136" s="363">
        <f t="shared" si="331"/>
        <v>0</v>
      </c>
      <c r="FS136" s="260" t="e">
        <f t="shared" si="323"/>
        <v>#DIV/0!</v>
      </c>
      <c r="FX136" s="351"/>
      <c r="FY136" s="351"/>
      <c r="FZ136" s="351"/>
      <c r="GA136" s="351"/>
      <c r="GB136" s="351"/>
      <c r="GC136" s="351"/>
      <c r="GD136" s="351"/>
      <c r="GE136" s="351"/>
      <c r="GF136" s="351"/>
      <c r="GG136" s="351"/>
      <c r="GH136" s="351"/>
      <c r="GJ136" s="262"/>
    </row>
    <row r="137" spans="160:193" ht="14.4" customHeight="1" x14ac:dyDescent="0.3">
      <c r="FD137" s="397" t="s">
        <v>219</v>
      </c>
      <c r="FE137" s="399" t="s">
        <v>216</v>
      </c>
      <c r="FF137" s="400">
        <f t="shared" si="355"/>
        <v>0</v>
      </c>
      <c r="FG137" s="400">
        <f t="shared" si="355"/>
        <v>0</v>
      </c>
      <c r="FH137" s="400">
        <f t="shared" si="355"/>
        <v>0</v>
      </c>
      <c r="FI137" s="400">
        <f t="shared" si="355"/>
        <v>0</v>
      </c>
      <c r="FJ137" s="400">
        <f t="shared" si="355"/>
        <v>0</v>
      </c>
      <c r="FK137" s="400">
        <f t="shared" si="355"/>
        <v>0</v>
      </c>
      <c r="FL137" s="400">
        <f t="shared" si="355"/>
        <v>0</v>
      </c>
      <c r="FM137" s="400">
        <f t="shared" si="355"/>
        <v>0</v>
      </c>
      <c r="FN137" s="400">
        <f t="shared" si="355"/>
        <v>0</v>
      </c>
      <c r="FO137" s="400">
        <f t="shared" si="355"/>
        <v>0</v>
      </c>
      <c r="FP137" s="400">
        <f t="shared" si="355"/>
        <v>0</v>
      </c>
      <c r="FQ137" s="400">
        <f t="shared" si="355"/>
        <v>0</v>
      </c>
      <c r="FR137" s="363">
        <f t="shared" si="331"/>
        <v>0</v>
      </c>
      <c r="FS137" s="260" t="e">
        <f t="shared" si="323"/>
        <v>#DIV/0!</v>
      </c>
      <c r="FX137" s="351"/>
      <c r="FY137" s="351"/>
      <c r="FZ137" s="351"/>
      <c r="GA137" s="351"/>
      <c r="GB137" s="351"/>
      <c r="GC137" s="351"/>
      <c r="GD137" s="351"/>
      <c r="GE137" s="351"/>
      <c r="GF137" s="351"/>
      <c r="GG137" s="351"/>
      <c r="GH137" s="351"/>
      <c r="GJ137" s="262"/>
    </row>
    <row r="138" spans="160:193" ht="14.4" customHeight="1" x14ac:dyDescent="0.3">
      <c r="FD138" s="397" t="s">
        <v>221</v>
      </c>
      <c r="FE138" s="357" t="s">
        <v>218</v>
      </c>
      <c r="FF138" s="325">
        <f>SUM(FF139:FF143)</f>
        <v>0</v>
      </c>
      <c r="FG138" s="325">
        <f t="shared" ref="FG138:FQ138" si="357">SUM(FG139:FG143)</f>
        <v>0</v>
      </c>
      <c r="FH138" s="325">
        <f t="shared" si="357"/>
        <v>0</v>
      </c>
      <c r="FI138" s="325">
        <f t="shared" si="357"/>
        <v>0</v>
      </c>
      <c r="FJ138" s="325">
        <f t="shared" si="357"/>
        <v>0</v>
      </c>
      <c r="FK138" s="325">
        <f t="shared" si="357"/>
        <v>0</v>
      </c>
      <c r="FL138" s="325">
        <f t="shared" si="357"/>
        <v>0</v>
      </c>
      <c r="FM138" s="325">
        <f t="shared" si="357"/>
        <v>0</v>
      </c>
      <c r="FN138" s="325">
        <f t="shared" si="357"/>
        <v>0</v>
      </c>
      <c r="FO138" s="325">
        <f t="shared" si="357"/>
        <v>0</v>
      </c>
      <c r="FP138" s="325">
        <f t="shared" si="357"/>
        <v>0</v>
      </c>
      <c r="FQ138" s="325">
        <f t="shared" si="357"/>
        <v>0</v>
      </c>
      <c r="FR138" s="309">
        <f t="shared" si="331"/>
        <v>0</v>
      </c>
      <c r="FS138" s="260" t="e">
        <f t="shared" si="323"/>
        <v>#DIV/0!</v>
      </c>
      <c r="FX138" s="351"/>
      <c r="FY138" s="351"/>
      <c r="FZ138" s="351"/>
      <c r="GA138" s="351"/>
      <c r="GB138" s="351"/>
      <c r="GC138" s="351"/>
      <c r="GD138" s="351"/>
      <c r="GE138" s="351"/>
      <c r="GF138" s="351"/>
      <c r="GG138" s="351"/>
      <c r="GH138" s="351"/>
      <c r="GJ138" s="552"/>
      <c r="GK138" s="440"/>
    </row>
    <row r="139" spans="160:193" ht="14.4" customHeight="1" x14ac:dyDescent="0.3">
      <c r="FD139" s="397" t="s">
        <v>223</v>
      </c>
      <c r="FE139" s="399" t="s">
        <v>220</v>
      </c>
      <c r="FF139" s="400">
        <f t="shared" ref="FF139:FQ143" si="358">+FF314/FF$376</f>
        <v>0</v>
      </c>
      <c r="FG139" s="400">
        <f t="shared" si="358"/>
        <v>0</v>
      </c>
      <c r="FH139" s="400">
        <f t="shared" si="358"/>
        <v>0</v>
      </c>
      <c r="FI139" s="400">
        <f t="shared" si="358"/>
        <v>0</v>
      </c>
      <c r="FJ139" s="400">
        <f t="shared" si="358"/>
        <v>0</v>
      </c>
      <c r="FK139" s="400">
        <f t="shared" si="358"/>
        <v>0</v>
      </c>
      <c r="FL139" s="400">
        <f t="shared" si="358"/>
        <v>0</v>
      </c>
      <c r="FM139" s="400">
        <f t="shared" si="358"/>
        <v>0</v>
      </c>
      <c r="FN139" s="400">
        <f t="shared" si="358"/>
        <v>0</v>
      </c>
      <c r="FO139" s="400">
        <f t="shared" si="358"/>
        <v>0</v>
      </c>
      <c r="FP139" s="400">
        <f t="shared" si="358"/>
        <v>0</v>
      </c>
      <c r="FQ139" s="400">
        <f t="shared" si="358"/>
        <v>0</v>
      </c>
      <c r="FR139" s="363">
        <f t="shared" si="331"/>
        <v>0</v>
      </c>
      <c r="FS139" s="260" t="e">
        <f t="shared" si="323"/>
        <v>#DIV/0!</v>
      </c>
      <c r="FX139" s="351"/>
      <c r="FY139" s="351"/>
      <c r="FZ139" s="351"/>
      <c r="GA139" s="351"/>
      <c r="GB139" s="351"/>
      <c r="GC139" s="351"/>
      <c r="GD139" s="351"/>
      <c r="GE139" s="351"/>
      <c r="GF139" s="351"/>
      <c r="GG139" s="351"/>
      <c r="GH139" s="351"/>
      <c r="GJ139" s="262"/>
    </row>
    <row r="140" spans="160:193" ht="14.4" customHeight="1" x14ac:dyDescent="0.3">
      <c r="FD140" s="397" t="s">
        <v>225</v>
      </c>
      <c r="FE140" s="399" t="s">
        <v>222</v>
      </c>
      <c r="FF140" s="400">
        <f t="shared" si="358"/>
        <v>0</v>
      </c>
      <c r="FG140" s="400">
        <f t="shared" si="358"/>
        <v>0</v>
      </c>
      <c r="FH140" s="400">
        <f t="shared" si="358"/>
        <v>0</v>
      </c>
      <c r="FI140" s="400">
        <f t="shared" si="358"/>
        <v>0</v>
      </c>
      <c r="FJ140" s="400">
        <f t="shared" si="358"/>
        <v>0</v>
      </c>
      <c r="FK140" s="400">
        <f t="shared" si="358"/>
        <v>0</v>
      </c>
      <c r="FL140" s="400">
        <f t="shared" si="358"/>
        <v>0</v>
      </c>
      <c r="FM140" s="400">
        <f t="shared" si="358"/>
        <v>0</v>
      </c>
      <c r="FN140" s="400">
        <f t="shared" si="358"/>
        <v>0</v>
      </c>
      <c r="FO140" s="400">
        <f t="shared" si="358"/>
        <v>0</v>
      </c>
      <c r="FP140" s="400">
        <f t="shared" si="358"/>
        <v>0</v>
      </c>
      <c r="FQ140" s="400">
        <f t="shared" si="358"/>
        <v>0</v>
      </c>
      <c r="FR140" s="363">
        <f t="shared" si="331"/>
        <v>0</v>
      </c>
      <c r="FS140" s="260" t="e">
        <f t="shared" si="323"/>
        <v>#DIV/0!</v>
      </c>
      <c r="FX140" s="351"/>
      <c r="FY140" s="351"/>
      <c r="FZ140" s="351"/>
      <c r="GA140" s="351"/>
      <c r="GB140" s="351"/>
      <c r="GC140" s="351"/>
      <c r="GD140" s="351"/>
      <c r="GE140" s="351"/>
      <c r="GF140" s="351"/>
      <c r="GG140" s="351"/>
      <c r="GH140" s="351"/>
      <c r="GJ140" s="262"/>
    </row>
    <row r="141" spans="160:193" ht="14.4" customHeight="1" x14ac:dyDescent="0.3">
      <c r="FD141" s="397" t="s">
        <v>227</v>
      </c>
      <c r="FE141" s="399" t="s">
        <v>224</v>
      </c>
      <c r="FF141" s="400">
        <f t="shared" si="358"/>
        <v>0</v>
      </c>
      <c r="FG141" s="400">
        <f t="shared" si="358"/>
        <v>0</v>
      </c>
      <c r="FH141" s="400">
        <f t="shared" si="358"/>
        <v>0</v>
      </c>
      <c r="FI141" s="400">
        <f t="shared" si="358"/>
        <v>0</v>
      </c>
      <c r="FJ141" s="400">
        <f t="shared" si="358"/>
        <v>0</v>
      </c>
      <c r="FK141" s="400">
        <f t="shared" si="358"/>
        <v>0</v>
      </c>
      <c r="FL141" s="400">
        <f t="shared" si="358"/>
        <v>0</v>
      </c>
      <c r="FM141" s="400">
        <f t="shared" si="358"/>
        <v>0</v>
      </c>
      <c r="FN141" s="400">
        <f t="shared" si="358"/>
        <v>0</v>
      </c>
      <c r="FO141" s="400">
        <f t="shared" si="358"/>
        <v>0</v>
      </c>
      <c r="FP141" s="400">
        <f t="shared" si="358"/>
        <v>0</v>
      </c>
      <c r="FQ141" s="400">
        <f t="shared" si="358"/>
        <v>0</v>
      </c>
      <c r="FR141" s="363">
        <f t="shared" si="331"/>
        <v>0</v>
      </c>
      <c r="FS141" s="260" t="e">
        <f t="shared" si="323"/>
        <v>#DIV/0!</v>
      </c>
      <c r="FX141" s="351"/>
      <c r="FY141" s="351"/>
      <c r="FZ141" s="351"/>
      <c r="GA141" s="351"/>
      <c r="GB141" s="351"/>
      <c r="GC141" s="351"/>
      <c r="GD141" s="351"/>
      <c r="GE141" s="351"/>
      <c r="GF141" s="351"/>
      <c r="GG141" s="351"/>
      <c r="GH141" s="351"/>
      <c r="GJ141" s="262"/>
    </row>
    <row r="142" spans="160:193" ht="14.4" customHeight="1" x14ac:dyDescent="0.3">
      <c r="FD142" s="429" t="s">
        <v>229</v>
      </c>
      <c r="FE142" s="399" t="s">
        <v>226</v>
      </c>
      <c r="FF142" s="400">
        <f t="shared" si="358"/>
        <v>0</v>
      </c>
      <c r="FG142" s="400">
        <f t="shared" si="358"/>
        <v>0</v>
      </c>
      <c r="FH142" s="400">
        <f t="shared" si="358"/>
        <v>0</v>
      </c>
      <c r="FI142" s="400">
        <f t="shared" si="358"/>
        <v>0</v>
      </c>
      <c r="FJ142" s="400">
        <f t="shared" si="358"/>
        <v>0</v>
      </c>
      <c r="FK142" s="400">
        <f t="shared" si="358"/>
        <v>0</v>
      </c>
      <c r="FL142" s="400">
        <f t="shared" si="358"/>
        <v>0</v>
      </c>
      <c r="FM142" s="400">
        <f t="shared" si="358"/>
        <v>0</v>
      </c>
      <c r="FN142" s="400">
        <f t="shared" si="358"/>
        <v>0</v>
      </c>
      <c r="FO142" s="400">
        <f t="shared" si="358"/>
        <v>0</v>
      </c>
      <c r="FP142" s="400">
        <f t="shared" si="358"/>
        <v>0</v>
      </c>
      <c r="FQ142" s="400">
        <f t="shared" si="358"/>
        <v>0</v>
      </c>
      <c r="FR142" s="363">
        <f t="shared" si="331"/>
        <v>0</v>
      </c>
      <c r="FS142" s="260" t="e">
        <f t="shared" si="323"/>
        <v>#DIV/0!</v>
      </c>
      <c r="FX142" s="351"/>
      <c r="FY142" s="351"/>
      <c r="FZ142" s="351"/>
      <c r="GA142" s="351"/>
      <c r="GB142" s="351"/>
      <c r="GC142" s="351"/>
      <c r="GD142" s="351"/>
      <c r="GE142" s="351"/>
      <c r="GF142" s="351"/>
      <c r="GG142" s="351"/>
      <c r="GH142" s="351"/>
      <c r="GJ142" s="262"/>
    </row>
    <row r="143" spans="160:193" ht="14.4" customHeight="1" x14ac:dyDescent="0.3">
      <c r="FD143" s="397" t="s">
        <v>231</v>
      </c>
      <c r="FE143" s="399" t="s">
        <v>228</v>
      </c>
      <c r="FF143" s="400">
        <f t="shared" si="358"/>
        <v>0</v>
      </c>
      <c r="FG143" s="400">
        <f t="shared" si="358"/>
        <v>0</v>
      </c>
      <c r="FH143" s="400">
        <f t="shared" si="358"/>
        <v>0</v>
      </c>
      <c r="FI143" s="400">
        <f t="shared" si="358"/>
        <v>0</v>
      </c>
      <c r="FJ143" s="400">
        <f t="shared" si="358"/>
        <v>0</v>
      </c>
      <c r="FK143" s="400">
        <f t="shared" si="358"/>
        <v>0</v>
      </c>
      <c r="FL143" s="400">
        <f t="shared" si="358"/>
        <v>0</v>
      </c>
      <c r="FM143" s="400">
        <f t="shared" si="358"/>
        <v>0</v>
      </c>
      <c r="FN143" s="400">
        <f t="shared" si="358"/>
        <v>0</v>
      </c>
      <c r="FO143" s="400">
        <f t="shared" si="358"/>
        <v>0</v>
      </c>
      <c r="FP143" s="400">
        <f t="shared" si="358"/>
        <v>0</v>
      </c>
      <c r="FQ143" s="400">
        <f t="shared" si="358"/>
        <v>0</v>
      </c>
      <c r="FR143" s="363">
        <f t="shared" si="331"/>
        <v>0</v>
      </c>
      <c r="FS143" s="260" t="e">
        <f t="shared" si="323"/>
        <v>#DIV/0!</v>
      </c>
      <c r="FX143" s="351"/>
      <c r="FY143" s="351"/>
      <c r="FZ143" s="351"/>
      <c r="GA143" s="351"/>
      <c r="GB143" s="351"/>
      <c r="GC143" s="351"/>
      <c r="GD143" s="351"/>
      <c r="GE143" s="351"/>
      <c r="GF143" s="351"/>
      <c r="GG143" s="351"/>
      <c r="GH143" s="351"/>
      <c r="GJ143" s="262"/>
    </row>
    <row r="144" spans="160:193" ht="14.4" customHeight="1" x14ac:dyDescent="0.3">
      <c r="FD144" s="397" t="s">
        <v>233</v>
      </c>
      <c r="FE144" s="357" t="s">
        <v>230</v>
      </c>
      <c r="FF144" s="325">
        <f>SUM(FF145:FF146)</f>
        <v>0</v>
      </c>
      <c r="FG144" s="325">
        <f t="shared" ref="FG144:FQ144" si="359">SUM(FG145:FG146)</f>
        <v>0</v>
      </c>
      <c r="FH144" s="325">
        <f t="shared" si="359"/>
        <v>0</v>
      </c>
      <c r="FI144" s="325">
        <f t="shared" si="359"/>
        <v>0</v>
      </c>
      <c r="FJ144" s="325">
        <f t="shared" si="359"/>
        <v>0</v>
      </c>
      <c r="FK144" s="325">
        <f t="shared" si="359"/>
        <v>0</v>
      </c>
      <c r="FL144" s="325">
        <f t="shared" si="359"/>
        <v>0</v>
      </c>
      <c r="FM144" s="325">
        <f t="shared" si="359"/>
        <v>0</v>
      </c>
      <c r="FN144" s="325">
        <f t="shared" si="359"/>
        <v>0</v>
      </c>
      <c r="FO144" s="325">
        <f t="shared" si="359"/>
        <v>0</v>
      </c>
      <c r="FP144" s="325">
        <f t="shared" si="359"/>
        <v>0</v>
      </c>
      <c r="FQ144" s="325">
        <f t="shared" si="359"/>
        <v>0</v>
      </c>
      <c r="FR144" s="309">
        <f t="shared" si="331"/>
        <v>0</v>
      </c>
      <c r="FS144" s="260" t="e">
        <f t="shared" si="323"/>
        <v>#DIV/0!</v>
      </c>
      <c r="FX144" s="351"/>
      <c r="FY144" s="351"/>
      <c r="FZ144" s="351"/>
      <c r="GA144" s="351"/>
      <c r="GB144" s="351"/>
      <c r="GC144" s="351"/>
      <c r="GD144" s="351"/>
      <c r="GE144" s="351"/>
      <c r="GF144" s="351"/>
      <c r="GG144" s="351"/>
      <c r="GH144" s="351"/>
      <c r="GJ144" s="262"/>
    </row>
    <row r="145" spans="160:194" ht="14.4" customHeight="1" collapsed="1" x14ac:dyDescent="0.3">
      <c r="FD145" s="429" t="s">
        <v>235</v>
      </c>
      <c r="FE145" s="399" t="s">
        <v>232</v>
      </c>
      <c r="FF145" s="400">
        <f t="shared" ref="FF145:FQ146" si="360">+FF320/FF$376</f>
        <v>0</v>
      </c>
      <c r="FG145" s="400">
        <f t="shared" si="360"/>
        <v>0</v>
      </c>
      <c r="FH145" s="400">
        <f t="shared" si="360"/>
        <v>0</v>
      </c>
      <c r="FI145" s="400">
        <f t="shared" si="360"/>
        <v>0</v>
      </c>
      <c r="FJ145" s="400">
        <f t="shared" si="360"/>
        <v>0</v>
      </c>
      <c r="FK145" s="400">
        <f t="shared" si="360"/>
        <v>0</v>
      </c>
      <c r="FL145" s="400">
        <f t="shared" si="360"/>
        <v>0</v>
      </c>
      <c r="FM145" s="400">
        <f t="shared" si="360"/>
        <v>0</v>
      </c>
      <c r="FN145" s="400">
        <f t="shared" si="360"/>
        <v>0</v>
      </c>
      <c r="FO145" s="400">
        <f t="shared" si="360"/>
        <v>0</v>
      </c>
      <c r="FP145" s="400">
        <f t="shared" si="360"/>
        <v>0</v>
      </c>
      <c r="FQ145" s="400">
        <f t="shared" si="360"/>
        <v>0</v>
      </c>
      <c r="FR145" s="363">
        <f t="shared" si="331"/>
        <v>0</v>
      </c>
      <c r="FS145" s="260" t="e">
        <f t="shared" si="323"/>
        <v>#DIV/0!</v>
      </c>
      <c r="FX145" s="351"/>
      <c r="FY145" s="351"/>
      <c r="FZ145" s="351"/>
      <c r="GA145" s="351"/>
      <c r="GB145" s="351"/>
      <c r="GC145" s="351"/>
      <c r="GD145" s="351"/>
      <c r="GE145" s="351"/>
      <c r="GF145" s="351"/>
      <c r="GG145" s="351"/>
      <c r="GH145" s="351"/>
      <c r="GJ145" s="262"/>
    </row>
    <row r="146" spans="160:194" ht="14.4" customHeight="1" x14ac:dyDescent="0.3">
      <c r="FD146" s="397" t="s">
        <v>237</v>
      </c>
      <c r="FE146" s="399" t="s">
        <v>234</v>
      </c>
      <c r="FF146" s="400">
        <f t="shared" si="360"/>
        <v>0</v>
      </c>
      <c r="FG146" s="400">
        <f t="shared" si="360"/>
        <v>0</v>
      </c>
      <c r="FH146" s="400">
        <f t="shared" si="360"/>
        <v>0</v>
      </c>
      <c r="FI146" s="400">
        <f t="shared" si="360"/>
        <v>0</v>
      </c>
      <c r="FJ146" s="400">
        <f t="shared" si="360"/>
        <v>0</v>
      </c>
      <c r="FK146" s="400">
        <f t="shared" si="360"/>
        <v>0</v>
      </c>
      <c r="FL146" s="400">
        <f t="shared" si="360"/>
        <v>0</v>
      </c>
      <c r="FM146" s="400">
        <f t="shared" si="360"/>
        <v>0</v>
      </c>
      <c r="FN146" s="400">
        <f t="shared" si="360"/>
        <v>0</v>
      </c>
      <c r="FO146" s="400">
        <f t="shared" si="360"/>
        <v>0</v>
      </c>
      <c r="FP146" s="400">
        <f t="shared" si="360"/>
        <v>0</v>
      </c>
      <c r="FQ146" s="400">
        <f t="shared" si="360"/>
        <v>0</v>
      </c>
      <c r="FR146" s="363">
        <f t="shared" si="331"/>
        <v>0</v>
      </c>
      <c r="FS146" s="260" t="e">
        <f t="shared" si="323"/>
        <v>#DIV/0!</v>
      </c>
      <c r="FX146" s="351"/>
      <c r="FY146" s="351"/>
      <c r="FZ146" s="351"/>
      <c r="GA146" s="351"/>
      <c r="GB146" s="351"/>
      <c r="GC146" s="351"/>
      <c r="GD146" s="351"/>
      <c r="GE146" s="351"/>
      <c r="GF146" s="351"/>
      <c r="GG146" s="351"/>
      <c r="GH146" s="351"/>
      <c r="GJ146" s="262"/>
      <c r="GK146" s="362"/>
    </row>
    <row r="147" spans="160:194" ht="14.4" customHeight="1" x14ac:dyDescent="0.3">
      <c r="FD147" s="397" t="s">
        <v>239</v>
      </c>
      <c r="FE147" s="357" t="s">
        <v>236</v>
      </c>
      <c r="FF147" s="325">
        <f>SUM(FF148:FF154)</f>
        <v>0</v>
      </c>
      <c r="FG147" s="325">
        <f t="shared" ref="FG147:FQ147" si="361">SUM(FG148:FG154)</f>
        <v>0</v>
      </c>
      <c r="FH147" s="325">
        <f t="shared" si="361"/>
        <v>0</v>
      </c>
      <c r="FI147" s="325">
        <f t="shared" si="361"/>
        <v>0</v>
      </c>
      <c r="FJ147" s="325">
        <f t="shared" si="361"/>
        <v>0</v>
      </c>
      <c r="FK147" s="325">
        <f t="shared" si="361"/>
        <v>0</v>
      </c>
      <c r="FL147" s="325">
        <f t="shared" si="361"/>
        <v>0</v>
      </c>
      <c r="FM147" s="325">
        <f t="shared" si="361"/>
        <v>0</v>
      </c>
      <c r="FN147" s="325">
        <f t="shared" si="361"/>
        <v>0</v>
      </c>
      <c r="FO147" s="325">
        <f t="shared" si="361"/>
        <v>0</v>
      </c>
      <c r="FP147" s="325">
        <f t="shared" si="361"/>
        <v>0</v>
      </c>
      <c r="FQ147" s="325">
        <f t="shared" si="361"/>
        <v>0</v>
      </c>
      <c r="FR147" s="309">
        <f t="shared" si="331"/>
        <v>0</v>
      </c>
      <c r="FS147" s="260" t="e">
        <f t="shared" si="323"/>
        <v>#DIV/0!</v>
      </c>
      <c r="FX147" s="351"/>
      <c r="FY147" s="351"/>
      <c r="FZ147" s="351"/>
      <c r="GA147" s="351"/>
      <c r="GB147" s="351"/>
      <c r="GC147" s="351"/>
      <c r="GD147" s="351"/>
      <c r="GE147" s="351"/>
      <c r="GF147" s="351"/>
      <c r="GG147" s="351"/>
      <c r="GH147" s="351"/>
      <c r="GJ147" s="262"/>
      <c r="GK147" s="441"/>
    </row>
    <row r="148" spans="160:194" ht="14.4" customHeight="1" x14ac:dyDescent="0.3">
      <c r="FD148" s="397" t="s">
        <v>241</v>
      </c>
      <c r="FE148" s="399" t="s">
        <v>238</v>
      </c>
      <c r="FF148" s="400">
        <f t="shared" ref="FF148:FQ154" si="362">+FF323/FF$376</f>
        <v>0</v>
      </c>
      <c r="FG148" s="400">
        <f t="shared" si="362"/>
        <v>0</v>
      </c>
      <c r="FH148" s="400">
        <f t="shared" si="362"/>
        <v>0</v>
      </c>
      <c r="FI148" s="400">
        <f t="shared" si="362"/>
        <v>0</v>
      </c>
      <c r="FJ148" s="400">
        <f t="shared" si="362"/>
        <v>0</v>
      </c>
      <c r="FK148" s="400">
        <f t="shared" si="362"/>
        <v>0</v>
      </c>
      <c r="FL148" s="400">
        <f t="shared" si="362"/>
        <v>0</v>
      </c>
      <c r="FM148" s="400">
        <f t="shared" si="362"/>
        <v>0</v>
      </c>
      <c r="FN148" s="400">
        <f t="shared" si="362"/>
        <v>0</v>
      </c>
      <c r="FO148" s="400">
        <f t="shared" si="362"/>
        <v>0</v>
      </c>
      <c r="FP148" s="400">
        <f t="shared" si="362"/>
        <v>0</v>
      </c>
      <c r="FQ148" s="400">
        <f t="shared" si="362"/>
        <v>0</v>
      </c>
      <c r="FR148" s="363">
        <f t="shared" si="331"/>
        <v>0</v>
      </c>
      <c r="FS148" s="260" t="e">
        <f t="shared" si="323"/>
        <v>#DIV/0!</v>
      </c>
      <c r="FX148" s="351"/>
      <c r="FY148" s="351"/>
      <c r="FZ148" s="351"/>
      <c r="GA148" s="351"/>
      <c r="GB148" s="351"/>
      <c r="GC148" s="351"/>
      <c r="GD148" s="351"/>
      <c r="GE148" s="351"/>
      <c r="GF148" s="351"/>
      <c r="GG148" s="351"/>
      <c r="GH148" s="351"/>
      <c r="GJ148" s="262"/>
      <c r="GK148" s="441"/>
    </row>
    <row r="149" spans="160:194" ht="14.4" customHeight="1" x14ac:dyDescent="0.3">
      <c r="FD149" s="397" t="s">
        <v>243</v>
      </c>
      <c r="FE149" s="399" t="s">
        <v>240</v>
      </c>
      <c r="FF149" s="400">
        <f t="shared" si="362"/>
        <v>0</v>
      </c>
      <c r="FG149" s="400">
        <f t="shared" si="362"/>
        <v>0</v>
      </c>
      <c r="FH149" s="400">
        <f t="shared" si="362"/>
        <v>0</v>
      </c>
      <c r="FI149" s="400">
        <f t="shared" si="362"/>
        <v>0</v>
      </c>
      <c r="FJ149" s="400">
        <f t="shared" si="362"/>
        <v>0</v>
      </c>
      <c r="FK149" s="400">
        <f t="shared" si="362"/>
        <v>0</v>
      </c>
      <c r="FL149" s="400">
        <f t="shared" si="362"/>
        <v>0</v>
      </c>
      <c r="FM149" s="400">
        <f t="shared" si="362"/>
        <v>0</v>
      </c>
      <c r="FN149" s="400">
        <f t="shared" si="362"/>
        <v>0</v>
      </c>
      <c r="FO149" s="400">
        <f t="shared" si="362"/>
        <v>0</v>
      </c>
      <c r="FP149" s="400">
        <f t="shared" si="362"/>
        <v>0</v>
      </c>
      <c r="FQ149" s="400">
        <f t="shared" si="362"/>
        <v>0</v>
      </c>
      <c r="FR149" s="363">
        <f t="shared" si="331"/>
        <v>0</v>
      </c>
      <c r="FS149" s="260" t="e">
        <f t="shared" si="323"/>
        <v>#DIV/0!</v>
      </c>
      <c r="FX149" s="351"/>
      <c r="FY149" s="351"/>
      <c r="FZ149" s="351"/>
      <c r="GA149" s="351"/>
      <c r="GB149" s="351"/>
      <c r="GC149" s="351"/>
      <c r="GD149" s="351"/>
      <c r="GE149" s="351"/>
      <c r="GF149" s="351"/>
      <c r="GG149" s="351"/>
      <c r="GH149" s="351"/>
      <c r="GJ149" s="262"/>
      <c r="GK149" s="362"/>
    </row>
    <row r="150" spans="160:194" ht="14.4" customHeight="1" x14ac:dyDescent="0.3">
      <c r="FD150" s="397" t="s">
        <v>244</v>
      </c>
      <c r="FE150" s="399" t="s">
        <v>242</v>
      </c>
      <c r="FF150" s="400">
        <f t="shared" si="362"/>
        <v>0</v>
      </c>
      <c r="FG150" s="400">
        <f t="shared" si="362"/>
        <v>0</v>
      </c>
      <c r="FH150" s="400">
        <f t="shared" si="362"/>
        <v>0</v>
      </c>
      <c r="FI150" s="400">
        <f t="shared" si="362"/>
        <v>0</v>
      </c>
      <c r="FJ150" s="400">
        <f t="shared" si="362"/>
        <v>0</v>
      </c>
      <c r="FK150" s="400">
        <f t="shared" si="362"/>
        <v>0</v>
      </c>
      <c r="FL150" s="400">
        <f t="shared" si="362"/>
        <v>0</v>
      </c>
      <c r="FM150" s="400">
        <f t="shared" si="362"/>
        <v>0</v>
      </c>
      <c r="FN150" s="400">
        <f t="shared" si="362"/>
        <v>0</v>
      </c>
      <c r="FO150" s="400">
        <f t="shared" si="362"/>
        <v>0</v>
      </c>
      <c r="FP150" s="400">
        <f t="shared" si="362"/>
        <v>0</v>
      </c>
      <c r="FQ150" s="400">
        <f t="shared" si="362"/>
        <v>0</v>
      </c>
      <c r="FR150" s="363">
        <f t="shared" si="331"/>
        <v>0</v>
      </c>
      <c r="FS150" s="260" t="e">
        <f t="shared" si="323"/>
        <v>#DIV/0!</v>
      </c>
      <c r="FX150" s="351"/>
      <c r="FY150" s="351"/>
      <c r="FZ150" s="351"/>
      <c r="GA150" s="351"/>
      <c r="GB150" s="351"/>
      <c r="GC150" s="351"/>
      <c r="GD150" s="351"/>
      <c r="GE150" s="351"/>
      <c r="GF150" s="351"/>
      <c r="GG150" s="351"/>
      <c r="GH150" s="351"/>
      <c r="GJ150" s="262"/>
      <c r="GK150" s="362"/>
    </row>
    <row r="151" spans="160:194" ht="14.4" customHeight="1" x14ac:dyDescent="0.3">
      <c r="FD151" s="397" t="s">
        <v>245</v>
      </c>
      <c r="FE151" s="399" t="s">
        <v>852</v>
      </c>
      <c r="FF151" s="400">
        <f t="shared" si="362"/>
        <v>0</v>
      </c>
      <c r="FG151" s="400">
        <f t="shared" si="362"/>
        <v>0</v>
      </c>
      <c r="FH151" s="400">
        <f t="shared" si="362"/>
        <v>0</v>
      </c>
      <c r="FI151" s="400">
        <f t="shared" si="362"/>
        <v>0</v>
      </c>
      <c r="FJ151" s="400">
        <f t="shared" si="362"/>
        <v>0</v>
      </c>
      <c r="FK151" s="400">
        <f t="shared" si="362"/>
        <v>0</v>
      </c>
      <c r="FL151" s="400">
        <f t="shared" si="362"/>
        <v>0</v>
      </c>
      <c r="FM151" s="400">
        <f t="shared" si="362"/>
        <v>0</v>
      </c>
      <c r="FN151" s="400">
        <f t="shared" si="362"/>
        <v>0</v>
      </c>
      <c r="FO151" s="400">
        <f t="shared" si="362"/>
        <v>0</v>
      </c>
      <c r="FP151" s="400">
        <f t="shared" si="362"/>
        <v>0</v>
      </c>
      <c r="FQ151" s="400">
        <f t="shared" si="362"/>
        <v>0</v>
      </c>
      <c r="FR151" s="363">
        <f t="shared" si="331"/>
        <v>0</v>
      </c>
      <c r="FS151" s="260" t="e">
        <f t="shared" si="323"/>
        <v>#DIV/0!</v>
      </c>
      <c r="FX151" s="351"/>
      <c r="FY151" s="351"/>
      <c r="FZ151" s="351"/>
      <c r="GA151" s="351"/>
      <c r="GB151" s="351"/>
      <c r="GC151" s="351"/>
      <c r="GD151" s="351"/>
      <c r="GE151" s="351"/>
      <c r="GF151" s="351"/>
      <c r="GG151" s="351"/>
      <c r="GH151" s="351"/>
      <c r="GJ151" s="262"/>
    </row>
    <row r="152" spans="160:194" ht="14.4" customHeight="1" x14ac:dyDescent="0.3">
      <c r="FD152" s="397" t="s">
        <v>247</v>
      </c>
      <c r="FE152" s="399" t="s">
        <v>853</v>
      </c>
      <c r="FF152" s="400">
        <f t="shared" si="362"/>
        <v>0</v>
      </c>
      <c r="FG152" s="400">
        <f t="shared" si="362"/>
        <v>0</v>
      </c>
      <c r="FH152" s="400">
        <f t="shared" si="362"/>
        <v>0</v>
      </c>
      <c r="FI152" s="400">
        <f t="shared" si="362"/>
        <v>0</v>
      </c>
      <c r="FJ152" s="400">
        <f t="shared" si="362"/>
        <v>0</v>
      </c>
      <c r="FK152" s="400">
        <f t="shared" si="362"/>
        <v>0</v>
      </c>
      <c r="FL152" s="400">
        <f t="shared" si="362"/>
        <v>0</v>
      </c>
      <c r="FM152" s="400">
        <f t="shared" si="362"/>
        <v>0</v>
      </c>
      <c r="FN152" s="400">
        <f t="shared" si="362"/>
        <v>0</v>
      </c>
      <c r="FO152" s="400">
        <f t="shared" si="362"/>
        <v>0</v>
      </c>
      <c r="FP152" s="400">
        <f t="shared" si="362"/>
        <v>0</v>
      </c>
      <c r="FQ152" s="400">
        <f t="shared" si="362"/>
        <v>0</v>
      </c>
      <c r="FR152" s="363">
        <f t="shared" si="331"/>
        <v>0</v>
      </c>
      <c r="FS152" s="260" t="e">
        <f t="shared" si="323"/>
        <v>#DIV/0!</v>
      </c>
      <c r="FX152" s="351"/>
      <c r="FY152" s="351"/>
      <c r="FZ152" s="351"/>
      <c r="GA152" s="351"/>
      <c r="GB152" s="351"/>
      <c r="GC152" s="351"/>
      <c r="GD152" s="351"/>
      <c r="GE152" s="351"/>
      <c r="GF152" s="351"/>
      <c r="GG152" s="351"/>
      <c r="GH152" s="351"/>
      <c r="GJ152" s="262"/>
    </row>
    <row r="153" spans="160:194" ht="14.4" customHeight="1" x14ac:dyDescent="0.3">
      <c r="FE153" s="399" t="s">
        <v>246</v>
      </c>
      <c r="FF153" s="400">
        <f t="shared" si="362"/>
        <v>0</v>
      </c>
      <c r="FG153" s="400">
        <f t="shared" si="362"/>
        <v>0</v>
      </c>
      <c r="FH153" s="400">
        <f t="shared" si="362"/>
        <v>0</v>
      </c>
      <c r="FI153" s="400">
        <f t="shared" si="362"/>
        <v>0</v>
      </c>
      <c r="FJ153" s="400">
        <f t="shared" si="362"/>
        <v>0</v>
      </c>
      <c r="FK153" s="400">
        <f t="shared" si="362"/>
        <v>0</v>
      </c>
      <c r="FL153" s="400">
        <f t="shared" si="362"/>
        <v>0</v>
      </c>
      <c r="FM153" s="400">
        <f t="shared" si="362"/>
        <v>0</v>
      </c>
      <c r="FN153" s="400">
        <f t="shared" si="362"/>
        <v>0</v>
      </c>
      <c r="FO153" s="400">
        <f t="shared" si="362"/>
        <v>0</v>
      </c>
      <c r="FP153" s="400">
        <f t="shared" si="362"/>
        <v>0</v>
      </c>
      <c r="FQ153" s="400">
        <f t="shared" si="362"/>
        <v>0</v>
      </c>
      <c r="FR153" s="363">
        <f t="shared" si="331"/>
        <v>0</v>
      </c>
      <c r="FS153" s="260" t="e">
        <f t="shared" si="323"/>
        <v>#DIV/0!</v>
      </c>
      <c r="FX153" s="351"/>
      <c r="FY153" s="351"/>
      <c r="FZ153" s="351"/>
      <c r="GA153" s="351"/>
      <c r="GB153" s="351"/>
      <c r="GC153" s="351"/>
      <c r="GD153" s="351"/>
      <c r="GE153" s="351"/>
      <c r="GF153" s="351"/>
      <c r="GG153" s="351"/>
      <c r="GH153" s="351"/>
      <c r="GJ153" s="262"/>
    </row>
    <row r="154" spans="160:194" ht="14.4" customHeight="1" x14ac:dyDescent="0.3">
      <c r="FE154" s="399" t="s">
        <v>248</v>
      </c>
      <c r="FF154" s="400">
        <f t="shared" si="362"/>
        <v>0</v>
      </c>
      <c r="FG154" s="400">
        <f t="shared" si="362"/>
        <v>0</v>
      </c>
      <c r="FH154" s="400">
        <f t="shared" si="362"/>
        <v>0</v>
      </c>
      <c r="FI154" s="400">
        <f t="shared" si="362"/>
        <v>0</v>
      </c>
      <c r="FJ154" s="400">
        <f t="shared" si="362"/>
        <v>0</v>
      </c>
      <c r="FK154" s="400">
        <f t="shared" si="362"/>
        <v>0</v>
      </c>
      <c r="FL154" s="400">
        <f t="shared" si="362"/>
        <v>0</v>
      </c>
      <c r="FM154" s="400">
        <f t="shared" si="362"/>
        <v>0</v>
      </c>
      <c r="FN154" s="400">
        <f t="shared" si="362"/>
        <v>0</v>
      </c>
      <c r="FO154" s="400">
        <f t="shared" si="362"/>
        <v>0</v>
      </c>
      <c r="FP154" s="400">
        <f t="shared" si="362"/>
        <v>0</v>
      </c>
      <c r="FQ154" s="400">
        <f t="shared" si="362"/>
        <v>0</v>
      </c>
      <c r="FR154" s="363">
        <f t="shared" si="331"/>
        <v>0</v>
      </c>
      <c r="FS154" s="260" t="e">
        <f t="shared" si="323"/>
        <v>#DIV/0!</v>
      </c>
      <c r="FX154" s="351"/>
      <c r="FY154" s="351"/>
      <c r="FZ154" s="351"/>
      <c r="GA154" s="351"/>
      <c r="GB154" s="351"/>
      <c r="GC154" s="351"/>
      <c r="GD154" s="351"/>
      <c r="GE154" s="351"/>
      <c r="GF154" s="351"/>
      <c r="GG154" s="351"/>
      <c r="GH154" s="351"/>
      <c r="GJ154" s="262"/>
    </row>
    <row r="155" spans="160:194" ht="14.4" customHeight="1" x14ac:dyDescent="0.3">
      <c r="FE155" s="361"/>
      <c r="FF155" s="362"/>
      <c r="FG155" s="362"/>
      <c r="FH155" s="362"/>
      <c r="FI155" s="362"/>
      <c r="FJ155" s="362"/>
      <c r="FK155" s="362"/>
      <c r="FL155" s="362"/>
      <c r="FM155" s="362"/>
      <c r="FN155" s="362"/>
      <c r="FO155" s="362"/>
      <c r="FP155" s="362"/>
      <c r="FQ155" s="362"/>
      <c r="FR155" s="363"/>
      <c r="FS155" s="364"/>
      <c r="FT155" s="362"/>
      <c r="FX155" s="351"/>
      <c r="FY155" s="351"/>
      <c r="FZ155" s="351"/>
      <c r="GA155" s="351"/>
      <c r="GB155" s="351"/>
      <c r="GC155" s="351"/>
      <c r="GD155" s="351"/>
      <c r="GE155" s="351"/>
      <c r="GF155" s="351"/>
      <c r="GG155" s="351"/>
      <c r="GH155" s="351"/>
      <c r="GJ155" s="262"/>
    </row>
    <row r="156" spans="160:194" ht="14.4" customHeight="1" x14ac:dyDescent="0.3">
      <c r="FE156" s="357" t="s">
        <v>450</v>
      </c>
      <c r="FF156" s="362" t="e">
        <f t="shared" ref="FF156:FQ156" si="363">+FF10-FF32</f>
        <v>#DIV/0!</v>
      </c>
      <c r="FG156" s="362" t="e">
        <f t="shared" si="363"/>
        <v>#DIV/0!</v>
      </c>
      <c r="FH156" s="362" t="e">
        <f t="shared" si="363"/>
        <v>#DIV/0!</v>
      </c>
      <c r="FI156" s="362" t="e">
        <f t="shared" si="363"/>
        <v>#DIV/0!</v>
      </c>
      <c r="FJ156" s="362" t="e">
        <f t="shared" si="363"/>
        <v>#DIV/0!</v>
      </c>
      <c r="FK156" s="362" t="e">
        <f t="shared" si="363"/>
        <v>#DIV/0!</v>
      </c>
      <c r="FL156" s="362" t="e">
        <f t="shared" si="363"/>
        <v>#DIV/0!</v>
      </c>
      <c r="FM156" s="362" t="e">
        <f t="shared" si="363"/>
        <v>#DIV/0!</v>
      </c>
      <c r="FN156" s="362" t="e">
        <f t="shared" si="363"/>
        <v>#DIV/0!</v>
      </c>
      <c r="FO156" s="362" t="e">
        <f t="shared" si="363"/>
        <v>#DIV/0!</v>
      </c>
      <c r="FP156" s="362" t="e">
        <f t="shared" si="363"/>
        <v>#DIV/0!</v>
      </c>
      <c r="FQ156" s="362" t="e">
        <f t="shared" si="363"/>
        <v>#DIV/0!</v>
      </c>
      <c r="FR156" s="363" t="e">
        <f>SUM(FF156:FQ156)</f>
        <v>#DIV/0!</v>
      </c>
      <c r="FS156" s="260" t="e">
        <f t="shared" si="323"/>
        <v>#DIV/0!</v>
      </c>
      <c r="FX156" s="351"/>
      <c r="FY156" s="351"/>
      <c r="FZ156" s="351"/>
      <c r="GA156" s="351"/>
      <c r="GB156" s="351"/>
      <c r="GC156" s="351"/>
      <c r="GD156" s="351"/>
      <c r="GE156" s="351"/>
      <c r="GF156" s="351"/>
      <c r="GG156" s="351"/>
      <c r="GH156" s="351"/>
      <c r="GJ156" s="262"/>
    </row>
    <row r="157" spans="160:194" ht="14.4" customHeight="1" x14ac:dyDescent="0.3">
      <c r="FE157" s="361"/>
      <c r="FF157" s="362"/>
      <c r="FG157" s="362"/>
      <c r="FH157" s="362"/>
      <c r="FI157" s="362"/>
      <c r="FJ157" s="362"/>
      <c r="FK157" s="362"/>
      <c r="FL157" s="362"/>
      <c r="FM157" s="362"/>
      <c r="FN157" s="362"/>
      <c r="FO157" s="362"/>
      <c r="FP157" s="362"/>
      <c r="FQ157" s="362"/>
      <c r="FR157" s="363"/>
      <c r="FS157" s="364"/>
      <c r="FX157" s="351"/>
      <c r="FY157" s="351"/>
      <c r="FZ157" s="351"/>
      <c r="GA157" s="351"/>
      <c r="GB157" s="351"/>
      <c r="GC157" s="351"/>
      <c r="GD157" s="351"/>
      <c r="GE157" s="351"/>
      <c r="GF157" s="351"/>
      <c r="GG157" s="351"/>
      <c r="GH157" s="351"/>
      <c r="GJ157" s="262"/>
    </row>
    <row r="158" spans="160:194" ht="14.4" customHeight="1" x14ac:dyDescent="0.3">
      <c r="FE158" s="357" t="s">
        <v>249</v>
      </c>
      <c r="FF158" s="434">
        <f t="shared" ref="FF158:FQ158" si="364">+FF333/FF$376</f>
        <v>0</v>
      </c>
      <c r="FG158" s="434">
        <f t="shared" si="364"/>
        <v>0</v>
      </c>
      <c r="FH158" s="434">
        <f t="shared" si="364"/>
        <v>0</v>
      </c>
      <c r="FI158" s="434">
        <f t="shared" si="364"/>
        <v>0</v>
      </c>
      <c r="FJ158" s="434">
        <f t="shared" si="364"/>
        <v>0</v>
      </c>
      <c r="FK158" s="434">
        <f t="shared" si="364"/>
        <v>0</v>
      </c>
      <c r="FL158" s="434">
        <f t="shared" si="364"/>
        <v>0</v>
      </c>
      <c r="FM158" s="434">
        <f t="shared" si="364"/>
        <v>0</v>
      </c>
      <c r="FN158" s="434">
        <f t="shared" si="364"/>
        <v>0</v>
      </c>
      <c r="FO158" s="434">
        <f t="shared" si="364"/>
        <v>0</v>
      </c>
      <c r="FP158" s="434">
        <f t="shared" si="364"/>
        <v>0</v>
      </c>
      <c r="FQ158" s="434">
        <f t="shared" si="364"/>
        <v>0</v>
      </c>
      <c r="FR158" s="363">
        <f t="shared" ref="FR158:FR162" si="365">SUM(FF158:FQ158)</f>
        <v>0</v>
      </c>
      <c r="FS158" s="260" t="e">
        <f t="shared" si="323"/>
        <v>#DIV/0!</v>
      </c>
      <c r="FX158" s="351"/>
      <c r="FY158" s="351"/>
      <c r="FZ158" s="351"/>
      <c r="GA158" s="351"/>
      <c r="GB158" s="351"/>
      <c r="GC158" s="351"/>
      <c r="GD158" s="351"/>
      <c r="GE158" s="351"/>
      <c r="GF158" s="351"/>
      <c r="GG158" s="351"/>
      <c r="GH158" s="351"/>
      <c r="GJ158" s="262"/>
    </row>
    <row r="159" spans="160:194" ht="14.4" customHeight="1" x14ac:dyDescent="0.3">
      <c r="FE159" s="361"/>
      <c r="FF159" s="362"/>
      <c r="FG159" s="362"/>
      <c r="FH159" s="362"/>
      <c r="FI159" s="362"/>
      <c r="FJ159" s="362"/>
      <c r="FK159" s="362"/>
      <c r="FL159" s="362"/>
      <c r="FM159" s="362"/>
      <c r="FN159" s="362"/>
      <c r="FO159" s="362"/>
      <c r="FP159" s="362"/>
      <c r="FQ159" s="362"/>
      <c r="FR159" s="363"/>
      <c r="FS159" s="364"/>
      <c r="FX159" s="351"/>
      <c r="FY159" s="351"/>
      <c r="FZ159" s="351"/>
      <c r="GA159" s="351"/>
      <c r="GB159" s="351"/>
      <c r="GC159" s="351"/>
      <c r="GD159" s="351"/>
      <c r="GE159" s="351"/>
      <c r="GF159" s="351"/>
      <c r="GG159" s="351"/>
      <c r="GH159" s="351"/>
      <c r="GJ159" s="262"/>
      <c r="GL159" s="362"/>
    </row>
    <row r="160" spans="160:194" ht="14.4" customHeight="1" x14ac:dyDescent="0.3">
      <c r="FE160" s="357" t="s">
        <v>451</v>
      </c>
      <c r="FF160" s="358" t="e">
        <f>+FF156-FF158</f>
        <v>#DIV/0!</v>
      </c>
      <c r="FG160" s="358" t="e">
        <f t="shared" ref="FG160:FQ160" si="366">+FG156-FG158</f>
        <v>#DIV/0!</v>
      </c>
      <c r="FH160" s="358" t="e">
        <f t="shared" si="366"/>
        <v>#DIV/0!</v>
      </c>
      <c r="FI160" s="358" t="e">
        <f t="shared" si="366"/>
        <v>#DIV/0!</v>
      </c>
      <c r="FJ160" s="358" t="e">
        <f t="shared" si="366"/>
        <v>#DIV/0!</v>
      </c>
      <c r="FK160" s="358" t="e">
        <f t="shared" si="366"/>
        <v>#DIV/0!</v>
      </c>
      <c r="FL160" s="358" t="e">
        <f t="shared" si="366"/>
        <v>#DIV/0!</v>
      </c>
      <c r="FM160" s="358" t="e">
        <f t="shared" si="366"/>
        <v>#DIV/0!</v>
      </c>
      <c r="FN160" s="358" t="e">
        <f t="shared" si="366"/>
        <v>#DIV/0!</v>
      </c>
      <c r="FO160" s="358" t="e">
        <f t="shared" si="366"/>
        <v>#DIV/0!</v>
      </c>
      <c r="FP160" s="358" t="e">
        <f t="shared" si="366"/>
        <v>#DIV/0!</v>
      </c>
      <c r="FQ160" s="358" t="e">
        <f t="shared" si="366"/>
        <v>#DIV/0!</v>
      </c>
      <c r="FR160" s="359" t="e">
        <f t="shared" si="365"/>
        <v>#DIV/0!</v>
      </c>
      <c r="FS160" s="260" t="e">
        <f t="shared" si="323"/>
        <v>#DIV/0!</v>
      </c>
      <c r="FX160" s="351"/>
      <c r="FY160" s="351"/>
      <c r="FZ160" s="351"/>
      <c r="GA160" s="351"/>
      <c r="GB160" s="351"/>
      <c r="GC160" s="351"/>
      <c r="GD160" s="351"/>
      <c r="GE160" s="351"/>
      <c r="GF160" s="351"/>
      <c r="GG160" s="351"/>
      <c r="GH160" s="351"/>
      <c r="GJ160" s="262"/>
    </row>
    <row r="161" spans="160:192" ht="14.4" customHeight="1" x14ac:dyDescent="0.3">
      <c r="FE161" s="361"/>
      <c r="FF161" s="362"/>
      <c r="FG161" s="362"/>
      <c r="FH161" s="362"/>
      <c r="FI161" s="362"/>
      <c r="FJ161" s="362"/>
      <c r="FK161" s="362"/>
      <c r="FL161" s="362"/>
      <c r="FM161" s="362"/>
      <c r="FN161" s="362"/>
      <c r="FO161" s="362"/>
      <c r="FP161" s="362"/>
      <c r="FQ161" s="362"/>
      <c r="FR161" s="363"/>
      <c r="FS161" s="364"/>
      <c r="FX161" s="351"/>
      <c r="FY161" s="351"/>
      <c r="FZ161" s="351"/>
      <c r="GA161" s="351"/>
      <c r="GB161" s="351"/>
      <c r="GC161" s="351"/>
      <c r="GD161" s="351"/>
      <c r="GE161" s="351"/>
      <c r="GF161" s="351"/>
      <c r="GG161" s="351"/>
      <c r="GH161" s="351"/>
      <c r="GJ161" s="262"/>
    </row>
    <row r="162" spans="160:192" ht="14.4" customHeight="1" x14ac:dyDescent="0.3">
      <c r="FE162" s="357" t="s">
        <v>251</v>
      </c>
      <c r="FF162" s="366">
        <v>0</v>
      </c>
      <c r="FG162" s="366">
        <v>0</v>
      </c>
      <c r="FH162" s="366">
        <v>0</v>
      </c>
      <c r="FI162" s="366">
        <v>0</v>
      </c>
      <c r="FJ162" s="366">
        <v>0</v>
      </c>
      <c r="FK162" s="366">
        <v>0</v>
      </c>
      <c r="FL162" s="366">
        <v>0</v>
      </c>
      <c r="FM162" s="366">
        <v>0</v>
      </c>
      <c r="FN162" s="366">
        <v>0</v>
      </c>
      <c r="FO162" s="366">
        <v>0</v>
      </c>
      <c r="FP162" s="366">
        <v>0</v>
      </c>
      <c r="FQ162" s="366">
        <v>0</v>
      </c>
      <c r="FR162" s="363">
        <f t="shared" si="365"/>
        <v>0</v>
      </c>
      <c r="FS162" s="260" t="e">
        <f t="shared" si="323"/>
        <v>#DIV/0!</v>
      </c>
      <c r="FX162" s="351"/>
      <c r="FY162" s="351"/>
      <c r="FZ162" s="351"/>
      <c r="GA162" s="351"/>
      <c r="GB162" s="351"/>
      <c r="GC162" s="351"/>
      <c r="GD162" s="351"/>
      <c r="GE162" s="351"/>
      <c r="GF162" s="351"/>
      <c r="GG162" s="351"/>
      <c r="GH162" s="351"/>
      <c r="GJ162" s="262"/>
    </row>
    <row r="163" spans="160:192" ht="14.4" customHeight="1" x14ac:dyDescent="0.3">
      <c r="FE163" s="361"/>
      <c r="FF163" s="362"/>
      <c r="FG163" s="362"/>
      <c r="FH163" s="362"/>
      <c r="FI163" s="362"/>
      <c r="FJ163" s="362"/>
      <c r="FK163" s="362"/>
      <c r="FL163" s="362"/>
      <c r="FM163" s="362"/>
      <c r="FN163" s="362"/>
      <c r="FO163" s="362"/>
      <c r="FP163" s="362"/>
      <c r="FQ163" s="362"/>
      <c r="FR163" s="363"/>
      <c r="FS163" s="364"/>
      <c r="FX163" s="351"/>
      <c r="FY163" s="351"/>
      <c r="FZ163" s="351"/>
      <c r="GA163" s="351"/>
      <c r="GB163" s="351"/>
      <c r="GC163" s="351"/>
      <c r="GD163" s="351"/>
      <c r="GE163" s="351"/>
      <c r="GF163" s="351"/>
      <c r="GG163" s="351"/>
      <c r="GH163" s="351"/>
      <c r="GJ163" s="262"/>
    </row>
    <row r="164" spans="160:192" ht="14.4" customHeight="1" x14ac:dyDescent="0.3">
      <c r="FE164" s="357" t="s">
        <v>252</v>
      </c>
      <c r="FF164" s="358" t="e">
        <f>+FF160-FF162</f>
        <v>#DIV/0!</v>
      </c>
      <c r="FG164" s="358" t="e">
        <f t="shared" ref="FG164:FQ164" si="367">+FG160-FG162</f>
        <v>#DIV/0!</v>
      </c>
      <c r="FH164" s="358" t="e">
        <f t="shared" si="367"/>
        <v>#DIV/0!</v>
      </c>
      <c r="FI164" s="358" t="e">
        <f t="shared" si="367"/>
        <v>#DIV/0!</v>
      </c>
      <c r="FJ164" s="358" t="e">
        <f t="shared" si="367"/>
        <v>#DIV/0!</v>
      </c>
      <c r="FK164" s="358" t="e">
        <f t="shared" si="367"/>
        <v>#DIV/0!</v>
      </c>
      <c r="FL164" s="358" t="e">
        <f t="shared" si="367"/>
        <v>#DIV/0!</v>
      </c>
      <c r="FM164" s="358" t="e">
        <f t="shared" si="367"/>
        <v>#DIV/0!</v>
      </c>
      <c r="FN164" s="358" t="e">
        <f t="shared" si="367"/>
        <v>#DIV/0!</v>
      </c>
      <c r="FO164" s="358" t="e">
        <f t="shared" si="367"/>
        <v>#DIV/0!</v>
      </c>
      <c r="FP164" s="358" t="e">
        <f t="shared" si="367"/>
        <v>#DIV/0!</v>
      </c>
      <c r="FQ164" s="358" t="e">
        <f t="shared" si="367"/>
        <v>#DIV/0!</v>
      </c>
      <c r="FR164" s="359" t="e">
        <f t="shared" ref="FR164" si="368">SUM(FF164:FQ164)</f>
        <v>#DIV/0!</v>
      </c>
      <c r="FS164" s="260" t="e">
        <f t="shared" si="323"/>
        <v>#DIV/0!</v>
      </c>
      <c r="FX164" s="351"/>
      <c r="FY164" s="351"/>
      <c r="FZ164" s="351"/>
      <c r="GA164" s="351"/>
      <c r="GB164" s="351"/>
      <c r="GC164" s="351"/>
      <c r="GD164" s="351"/>
      <c r="GE164" s="351"/>
      <c r="GF164" s="351"/>
      <c r="GG164" s="351"/>
      <c r="GH164" s="351"/>
      <c r="GJ164" s="262"/>
    </row>
    <row r="165" spans="160:192" ht="14.4" customHeight="1" x14ac:dyDescent="0.3">
      <c r="FD165" s="244" t="s">
        <v>253</v>
      </c>
      <c r="FE165" s="361"/>
      <c r="FF165" s="362"/>
      <c r="FG165" s="362"/>
      <c r="FH165" s="362"/>
      <c r="FI165" s="362"/>
      <c r="FJ165" s="362"/>
      <c r="FK165" s="362"/>
      <c r="FL165" s="362"/>
      <c r="FM165" s="362"/>
      <c r="FN165" s="362"/>
      <c r="FO165" s="362"/>
      <c r="FP165" s="362"/>
      <c r="FQ165" s="362"/>
      <c r="FR165" s="362"/>
      <c r="FS165" s="362"/>
      <c r="FX165" s="351"/>
      <c r="FY165" s="351"/>
      <c r="FZ165" s="351"/>
      <c r="GA165" s="351"/>
      <c r="GB165" s="351"/>
      <c r="GC165" s="351"/>
      <c r="GD165" s="351"/>
      <c r="GE165" s="351"/>
      <c r="GF165" s="351"/>
      <c r="GG165" s="351"/>
      <c r="GH165" s="351"/>
      <c r="GJ165" s="262"/>
    </row>
    <row r="166" spans="160:192" ht="14.4" customHeight="1" x14ac:dyDescent="0.3">
      <c r="FD166" s="244" t="s">
        <v>255</v>
      </c>
      <c r="FF166" s="362"/>
      <c r="FG166" s="362"/>
      <c r="FH166" s="362"/>
      <c r="FI166" s="362"/>
      <c r="FJ166" s="362"/>
      <c r="FK166" s="362"/>
      <c r="FL166" s="362"/>
      <c r="FM166" s="362"/>
      <c r="FN166" s="362"/>
      <c r="FO166" s="362"/>
      <c r="FP166" s="362"/>
      <c r="FQ166" s="362"/>
      <c r="FR166" s="362"/>
      <c r="FS166" s="362"/>
      <c r="FX166" s="351"/>
      <c r="FY166" s="351"/>
      <c r="FZ166" s="351"/>
      <c r="GA166" s="351"/>
      <c r="GB166" s="351"/>
      <c r="GC166" s="351"/>
      <c r="GD166" s="351"/>
      <c r="GE166" s="351"/>
      <c r="GF166" s="351"/>
      <c r="GG166" s="351"/>
      <c r="GH166" s="351"/>
      <c r="GJ166" s="262"/>
    </row>
    <row r="167" spans="160:192" ht="14.4" customHeight="1" x14ac:dyDescent="0.3">
      <c r="FD167" s="244" t="s">
        <v>257</v>
      </c>
      <c r="FE167" s="357" t="s">
        <v>254</v>
      </c>
      <c r="FF167" s="325">
        <f>+FF168</f>
        <v>-1.6666666666666666E-2</v>
      </c>
      <c r="FG167" s="325">
        <f t="shared" ref="FG167:FQ167" si="369">+FG168</f>
        <v>-1.6666666666666666E-2</v>
      </c>
      <c r="FH167" s="325">
        <f t="shared" si="369"/>
        <v>-1.6666666666666666E-2</v>
      </c>
      <c r="FI167" s="325">
        <f t="shared" si="369"/>
        <v>-1.6666666666666666E-2</v>
      </c>
      <c r="FJ167" s="325">
        <f t="shared" si="369"/>
        <v>-1.6666666666666666E-2</v>
      </c>
      <c r="FK167" s="325">
        <f t="shared" si="369"/>
        <v>-1.6666666666666666E-2</v>
      </c>
      <c r="FL167" s="325">
        <f t="shared" si="369"/>
        <v>-1.6666666666666666E-2</v>
      </c>
      <c r="FM167" s="325">
        <f t="shared" si="369"/>
        <v>-1.6666666666666666E-2</v>
      </c>
      <c r="FN167" s="325">
        <f t="shared" si="369"/>
        <v>-1.6666666666666666E-2</v>
      </c>
      <c r="FO167" s="325">
        <f t="shared" si="369"/>
        <v>-1.6666666666666666E-2</v>
      </c>
      <c r="FP167" s="325">
        <f t="shared" si="369"/>
        <v>-1.6666666666666666E-2</v>
      </c>
      <c r="FQ167" s="325">
        <f t="shared" si="369"/>
        <v>-1.6666666666666666E-2</v>
      </c>
      <c r="FR167" s="309">
        <f t="shared" si="331"/>
        <v>-0.19999999999999998</v>
      </c>
      <c r="FS167" s="260" t="e">
        <f t="shared" ref="FS167:FS177" si="370">FR167/$FR$6</f>
        <v>#DIV/0!</v>
      </c>
      <c r="FX167" s="351"/>
      <c r="FY167" s="351"/>
      <c r="FZ167" s="351"/>
      <c r="GA167" s="351"/>
      <c r="GB167" s="351"/>
      <c r="GC167" s="351"/>
      <c r="GD167" s="351"/>
      <c r="GE167" s="351"/>
      <c r="GF167" s="351"/>
      <c r="GG167" s="351"/>
      <c r="GH167" s="351"/>
      <c r="GJ167" s="262"/>
    </row>
    <row r="168" spans="160:192" ht="14.4" customHeight="1" x14ac:dyDescent="0.3">
      <c r="FD168" s="244" t="s">
        <v>258</v>
      </c>
      <c r="FE168" s="442" t="s">
        <v>256</v>
      </c>
      <c r="FF168" s="366">
        <f>SUM(FF169:FF175)</f>
        <v>-1.6666666666666666E-2</v>
      </c>
      <c r="FG168" s="366">
        <f t="shared" ref="FG168:FQ168" si="371">SUM(FG169:FG175)</f>
        <v>-1.6666666666666666E-2</v>
      </c>
      <c r="FH168" s="366">
        <f t="shared" si="371"/>
        <v>-1.6666666666666666E-2</v>
      </c>
      <c r="FI168" s="366">
        <f t="shared" si="371"/>
        <v>-1.6666666666666666E-2</v>
      </c>
      <c r="FJ168" s="366">
        <f t="shared" si="371"/>
        <v>-1.6666666666666666E-2</v>
      </c>
      <c r="FK168" s="366">
        <f t="shared" si="371"/>
        <v>-1.6666666666666666E-2</v>
      </c>
      <c r="FL168" s="366">
        <f t="shared" si="371"/>
        <v>-1.6666666666666666E-2</v>
      </c>
      <c r="FM168" s="366">
        <f t="shared" si="371"/>
        <v>-1.6666666666666666E-2</v>
      </c>
      <c r="FN168" s="366">
        <f t="shared" si="371"/>
        <v>-1.6666666666666666E-2</v>
      </c>
      <c r="FO168" s="366">
        <f t="shared" si="371"/>
        <v>-1.6666666666666666E-2</v>
      </c>
      <c r="FP168" s="366">
        <f t="shared" si="371"/>
        <v>-1.6666666666666666E-2</v>
      </c>
      <c r="FQ168" s="366">
        <f t="shared" si="371"/>
        <v>-1.6666666666666666E-2</v>
      </c>
      <c r="FR168" s="309">
        <f t="shared" si="331"/>
        <v>-0.19999999999999998</v>
      </c>
      <c r="FS168" s="260" t="e">
        <f t="shared" si="370"/>
        <v>#DIV/0!</v>
      </c>
      <c r="FX168" s="351"/>
      <c r="FY168" s="351"/>
      <c r="FZ168" s="351"/>
      <c r="GA168" s="351"/>
      <c r="GB168" s="351"/>
      <c r="GC168" s="351"/>
      <c r="GD168" s="351"/>
      <c r="GE168" s="351"/>
      <c r="GF168" s="351"/>
      <c r="GG168" s="351"/>
      <c r="GH168" s="351"/>
      <c r="GJ168" s="262"/>
    </row>
    <row r="169" spans="160:192" ht="14.4" customHeight="1" x14ac:dyDescent="0.3">
      <c r="FD169" s="244" t="s">
        <v>259</v>
      </c>
      <c r="FE169" s="244" t="s">
        <v>648</v>
      </c>
      <c r="FF169" s="362">
        <f>$HK$10</f>
        <v>0</v>
      </c>
      <c r="FG169" s="362">
        <f t="shared" ref="FG169:FQ169" si="372">$HK$10</f>
        <v>0</v>
      </c>
      <c r="FH169" s="362">
        <f t="shared" si="372"/>
        <v>0</v>
      </c>
      <c r="FI169" s="362">
        <f t="shared" si="372"/>
        <v>0</v>
      </c>
      <c r="FJ169" s="362">
        <f t="shared" si="372"/>
        <v>0</v>
      </c>
      <c r="FK169" s="362">
        <f t="shared" si="372"/>
        <v>0</v>
      </c>
      <c r="FL169" s="362">
        <f t="shared" si="372"/>
        <v>0</v>
      </c>
      <c r="FM169" s="362">
        <f t="shared" si="372"/>
        <v>0</v>
      </c>
      <c r="FN169" s="362">
        <f t="shared" si="372"/>
        <v>0</v>
      </c>
      <c r="FO169" s="362">
        <f t="shared" si="372"/>
        <v>0</v>
      </c>
      <c r="FP169" s="362">
        <f t="shared" si="372"/>
        <v>0</v>
      </c>
      <c r="FQ169" s="362">
        <f t="shared" si="372"/>
        <v>0</v>
      </c>
      <c r="FR169" s="363">
        <f t="shared" si="331"/>
        <v>0</v>
      </c>
      <c r="FS169" s="260" t="e">
        <f t="shared" si="370"/>
        <v>#DIV/0!</v>
      </c>
      <c r="FX169" s="351"/>
      <c r="FY169" s="351"/>
      <c r="FZ169" s="351"/>
      <c r="GA169" s="351"/>
      <c r="GB169" s="351"/>
      <c r="GC169" s="351"/>
      <c r="GD169" s="351"/>
      <c r="GE169" s="351"/>
      <c r="GF169" s="351"/>
      <c r="GG169" s="351"/>
      <c r="GH169" s="351"/>
      <c r="GJ169" s="262"/>
    </row>
    <row r="170" spans="160:192" ht="14.4" customHeight="1" x14ac:dyDescent="0.3">
      <c r="FD170" s="244" t="s">
        <v>260</v>
      </c>
      <c r="FE170" s="244" t="s">
        <v>649</v>
      </c>
      <c r="FF170" s="362">
        <v>0</v>
      </c>
      <c r="FG170" s="362">
        <v>0</v>
      </c>
      <c r="FH170" s="362">
        <v>0</v>
      </c>
      <c r="FI170" s="362">
        <v>0</v>
      </c>
      <c r="FJ170" s="362">
        <v>0</v>
      </c>
      <c r="FK170" s="362">
        <v>0</v>
      </c>
      <c r="FL170" s="362">
        <v>0</v>
      </c>
      <c r="FM170" s="362">
        <v>0</v>
      </c>
      <c r="FN170" s="362">
        <v>0</v>
      </c>
      <c r="FO170" s="362">
        <v>0</v>
      </c>
      <c r="FP170" s="362">
        <v>0</v>
      </c>
      <c r="FQ170" s="362">
        <v>0</v>
      </c>
      <c r="FR170" s="363">
        <f t="shared" si="331"/>
        <v>0</v>
      </c>
      <c r="FS170" s="260" t="e">
        <f t="shared" si="370"/>
        <v>#DIV/0!</v>
      </c>
      <c r="FX170" s="351"/>
      <c r="FY170" s="351"/>
      <c r="FZ170" s="351"/>
      <c r="GA170" s="351"/>
      <c r="GB170" s="351"/>
      <c r="GC170" s="351"/>
      <c r="GD170" s="351"/>
      <c r="GE170" s="351"/>
      <c r="GF170" s="351"/>
      <c r="GG170" s="351"/>
      <c r="GH170" s="351"/>
      <c r="GJ170" s="262"/>
    </row>
    <row r="171" spans="160:192" ht="14.4" customHeight="1" x14ac:dyDescent="0.3">
      <c r="FD171" s="244" t="s">
        <v>261</v>
      </c>
      <c r="FE171" s="244" t="s">
        <v>650</v>
      </c>
      <c r="FF171" s="362">
        <v>0</v>
      </c>
      <c r="FG171" s="362">
        <v>0</v>
      </c>
      <c r="FH171" s="362">
        <v>0</v>
      </c>
      <c r="FI171" s="362">
        <v>0</v>
      </c>
      <c r="FJ171" s="362">
        <v>0</v>
      </c>
      <c r="FK171" s="362">
        <v>0</v>
      </c>
      <c r="FL171" s="362">
        <v>0</v>
      </c>
      <c r="FM171" s="362">
        <v>0</v>
      </c>
      <c r="FN171" s="362">
        <v>0</v>
      </c>
      <c r="FO171" s="362">
        <v>0</v>
      </c>
      <c r="FP171" s="362">
        <v>0</v>
      </c>
      <c r="FQ171" s="362">
        <v>0</v>
      </c>
      <c r="FR171" s="363">
        <f t="shared" si="331"/>
        <v>0</v>
      </c>
      <c r="FS171" s="260" t="e">
        <f t="shared" si="370"/>
        <v>#DIV/0!</v>
      </c>
      <c r="FX171" s="351"/>
      <c r="FY171" s="351"/>
      <c r="FZ171" s="351"/>
      <c r="GA171" s="351"/>
      <c r="GB171" s="351"/>
      <c r="GC171" s="351"/>
      <c r="GD171" s="351"/>
      <c r="GE171" s="351"/>
      <c r="GF171" s="351"/>
      <c r="GG171" s="351"/>
      <c r="GH171" s="351"/>
      <c r="GJ171" s="262"/>
    </row>
    <row r="172" spans="160:192" ht="14.4" customHeight="1" x14ac:dyDescent="0.3">
      <c r="FD172" s="244" t="s">
        <v>262</v>
      </c>
      <c r="FE172" s="244" t="s">
        <v>651</v>
      </c>
      <c r="FF172" s="362">
        <v>0</v>
      </c>
      <c r="FG172" s="362">
        <v>0</v>
      </c>
      <c r="FH172" s="362">
        <v>0</v>
      </c>
      <c r="FI172" s="362">
        <v>0</v>
      </c>
      <c r="FJ172" s="362">
        <v>0</v>
      </c>
      <c r="FK172" s="362">
        <v>0</v>
      </c>
      <c r="FL172" s="362">
        <v>0</v>
      </c>
      <c r="FM172" s="362">
        <v>0</v>
      </c>
      <c r="FN172" s="362">
        <v>0</v>
      </c>
      <c r="FO172" s="362">
        <v>0</v>
      </c>
      <c r="FP172" s="362">
        <v>0</v>
      </c>
      <c r="FQ172" s="362">
        <v>0</v>
      </c>
      <c r="FR172" s="363">
        <f t="shared" si="331"/>
        <v>0</v>
      </c>
      <c r="FS172" s="260" t="e">
        <f t="shared" si="370"/>
        <v>#DIV/0!</v>
      </c>
      <c r="FX172" s="351"/>
      <c r="FY172" s="351"/>
      <c r="FZ172" s="351"/>
      <c r="GA172" s="351"/>
      <c r="GB172" s="351"/>
      <c r="GC172" s="351"/>
      <c r="GD172" s="351"/>
      <c r="GE172" s="351"/>
      <c r="GF172" s="351"/>
      <c r="GG172" s="351"/>
      <c r="GH172" s="351"/>
      <c r="GJ172" s="262"/>
    </row>
    <row r="173" spans="160:192" ht="14.4" customHeight="1" x14ac:dyDescent="0.3">
      <c r="FD173" s="244" t="s">
        <v>263</v>
      </c>
      <c r="FE173" s="244" t="s">
        <v>652</v>
      </c>
      <c r="FF173" s="362">
        <v>0</v>
      </c>
      <c r="FG173" s="362">
        <v>0</v>
      </c>
      <c r="FH173" s="362">
        <v>0</v>
      </c>
      <c r="FI173" s="362">
        <v>0</v>
      </c>
      <c r="FJ173" s="362">
        <v>0</v>
      </c>
      <c r="FK173" s="362">
        <v>0</v>
      </c>
      <c r="FL173" s="362">
        <v>0</v>
      </c>
      <c r="FM173" s="362">
        <v>0</v>
      </c>
      <c r="FN173" s="362">
        <v>0</v>
      </c>
      <c r="FO173" s="362">
        <v>0</v>
      </c>
      <c r="FP173" s="362">
        <v>0</v>
      </c>
      <c r="FQ173" s="362">
        <v>0</v>
      </c>
      <c r="FR173" s="363">
        <f t="shared" si="331"/>
        <v>0</v>
      </c>
      <c r="FS173" s="260" t="e">
        <f t="shared" si="370"/>
        <v>#DIV/0!</v>
      </c>
      <c r="FX173" s="351"/>
      <c r="FY173" s="351"/>
      <c r="FZ173" s="351"/>
      <c r="GA173" s="351"/>
      <c r="GB173" s="351"/>
      <c r="GC173" s="351"/>
      <c r="GD173" s="351"/>
      <c r="GE173" s="351"/>
      <c r="GF173" s="351"/>
      <c r="GG173" s="351"/>
      <c r="GH173" s="351"/>
      <c r="GJ173" s="262"/>
    </row>
    <row r="174" spans="160:192" ht="14.4" customHeight="1" x14ac:dyDescent="0.3">
      <c r="FE174" s="244" t="s">
        <v>653</v>
      </c>
      <c r="FF174" s="362">
        <f>$HK$25</f>
        <v>0</v>
      </c>
      <c r="FG174" s="362">
        <f t="shared" ref="FG174:FQ174" si="373">$HK$25</f>
        <v>0</v>
      </c>
      <c r="FH174" s="362">
        <f t="shared" si="373"/>
        <v>0</v>
      </c>
      <c r="FI174" s="362">
        <f t="shared" si="373"/>
        <v>0</v>
      </c>
      <c r="FJ174" s="362">
        <f t="shared" si="373"/>
        <v>0</v>
      </c>
      <c r="FK174" s="362">
        <f t="shared" si="373"/>
        <v>0</v>
      </c>
      <c r="FL174" s="362">
        <f t="shared" si="373"/>
        <v>0</v>
      </c>
      <c r="FM174" s="362">
        <f t="shared" si="373"/>
        <v>0</v>
      </c>
      <c r="FN174" s="362">
        <f t="shared" si="373"/>
        <v>0</v>
      </c>
      <c r="FO174" s="362">
        <f t="shared" si="373"/>
        <v>0</v>
      </c>
      <c r="FP174" s="362">
        <f t="shared" si="373"/>
        <v>0</v>
      </c>
      <c r="FQ174" s="362">
        <f t="shared" si="373"/>
        <v>0</v>
      </c>
      <c r="FR174" s="363">
        <f t="shared" si="331"/>
        <v>0</v>
      </c>
      <c r="FS174" s="260" t="e">
        <f t="shared" si="370"/>
        <v>#DIV/0!</v>
      </c>
      <c r="FX174" s="351"/>
      <c r="FY174" s="351"/>
      <c r="FZ174" s="351"/>
      <c r="GA174" s="351"/>
      <c r="GB174" s="351"/>
      <c r="GC174" s="351"/>
      <c r="GD174" s="351"/>
      <c r="GE174" s="351"/>
      <c r="GF174" s="351"/>
      <c r="GG174" s="351"/>
      <c r="GH174" s="351"/>
      <c r="GJ174" s="262"/>
    </row>
    <row r="175" spans="160:192" ht="14.4" customHeight="1" x14ac:dyDescent="0.3">
      <c r="FE175" s="244" t="s">
        <v>654</v>
      </c>
      <c r="FF175" s="362">
        <f>$HK$18</f>
        <v>-1.6666666666666666E-2</v>
      </c>
      <c r="FG175" s="362">
        <f t="shared" ref="FG175:FQ175" si="374">$HK$18</f>
        <v>-1.6666666666666666E-2</v>
      </c>
      <c r="FH175" s="362">
        <f t="shared" si="374"/>
        <v>-1.6666666666666666E-2</v>
      </c>
      <c r="FI175" s="362">
        <f t="shared" si="374"/>
        <v>-1.6666666666666666E-2</v>
      </c>
      <c r="FJ175" s="362">
        <f t="shared" si="374"/>
        <v>-1.6666666666666666E-2</v>
      </c>
      <c r="FK175" s="362">
        <f t="shared" si="374"/>
        <v>-1.6666666666666666E-2</v>
      </c>
      <c r="FL175" s="362">
        <f t="shared" si="374"/>
        <v>-1.6666666666666666E-2</v>
      </c>
      <c r="FM175" s="362">
        <f t="shared" si="374"/>
        <v>-1.6666666666666666E-2</v>
      </c>
      <c r="FN175" s="362">
        <f t="shared" si="374"/>
        <v>-1.6666666666666666E-2</v>
      </c>
      <c r="FO175" s="362">
        <f t="shared" si="374"/>
        <v>-1.6666666666666666E-2</v>
      </c>
      <c r="FP175" s="362">
        <f t="shared" si="374"/>
        <v>-1.6666666666666666E-2</v>
      </c>
      <c r="FQ175" s="362">
        <f t="shared" si="374"/>
        <v>-1.6666666666666666E-2</v>
      </c>
      <c r="FR175" s="363">
        <f t="shared" si="331"/>
        <v>-0.19999999999999998</v>
      </c>
      <c r="FS175" s="260" t="e">
        <f t="shared" si="370"/>
        <v>#DIV/0!</v>
      </c>
      <c r="FX175" s="351"/>
      <c r="FY175" s="351"/>
      <c r="FZ175" s="351"/>
      <c r="GA175" s="351"/>
      <c r="GB175" s="351"/>
      <c r="GC175" s="351"/>
      <c r="GD175" s="351"/>
      <c r="GE175" s="351"/>
      <c r="GF175" s="351"/>
      <c r="GG175" s="351"/>
      <c r="GH175" s="351"/>
      <c r="GJ175" s="262"/>
    </row>
    <row r="176" spans="160:192" ht="14.4" customHeight="1" x14ac:dyDescent="0.3">
      <c r="FF176" s="362"/>
      <c r="FG176" s="362"/>
      <c r="FH176" s="362"/>
      <c r="FI176" s="362"/>
      <c r="FJ176" s="362"/>
      <c r="FK176" s="362"/>
      <c r="FL176" s="362"/>
      <c r="FM176" s="362"/>
      <c r="FN176" s="362"/>
      <c r="FO176" s="362"/>
      <c r="FP176" s="362"/>
      <c r="FQ176" s="362"/>
      <c r="FR176" s="363"/>
      <c r="FS176" s="260" t="e">
        <f t="shared" si="370"/>
        <v>#DIV/0!</v>
      </c>
      <c r="FX176" s="351"/>
      <c r="FY176" s="351"/>
      <c r="FZ176" s="351"/>
      <c r="GA176" s="351"/>
      <c r="GB176" s="351"/>
      <c r="GC176" s="351"/>
      <c r="GD176" s="351"/>
      <c r="GE176" s="351"/>
      <c r="GF176" s="351"/>
      <c r="GG176" s="351"/>
      <c r="GH176" s="351"/>
      <c r="GJ176" s="262"/>
    </row>
    <row r="177" spans="160:195" ht="14.4" customHeight="1" x14ac:dyDescent="0.3">
      <c r="FE177" s="357" t="s">
        <v>440</v>
      </c>
      <c r="FF177" s="366" t="e">
        <f t="shared" ref="FF177:FQ177" si="375">MAX(FF8*1%,(FF164-FF167)*30%)</f>
        <v>#DIV/0!</v>
      </c>
      <c r="FG177" s="366" t="e">
        <f t="shared" si="375"/>
        <v>#DIV/0!</v>
      </c>
      <c r="FH177" s="366" t="e">
        <f t="shared" si="375"/>
        <v>#DIV/0!</v>
      </c>
      <c r="FI177" s="366" t="e">
        <f t="shared" si="375"/>
        <v>#DIV/0!</v>
      </c>
      <c r="FJ177" s="366" t="e">
        <f t="shared" si="375"/>
        <v>#DIV/0!</v>
      </c>
      <c r="FK177" s="366" t="e">
        <f t="shared" si="375"/>
        <v>#DIV/0!</v>
      </c>
      <c r="FL177" s="366" t="e">
        <f t="shared" si="375"/>
        <v>#DIV/0!</v>
      </c>
      <c r="FM177" s="366" t="e">
        <f t="shared" si="375"/>
        <v>#DIV/0!</v>
      </c>
      <c r="FN177" s="366" t="e">
        <f t="shared" si="375"/>
        <v>#DIV/0!</v>
      </c>
      <c r="FO177" s="366" t="e">
        <f t="shared" si="375"/>
        <v>#DIV/0!</v>
      </c>
      <c r="FP177" s="366" t="e">
        <f t="shared" si="375"/>
        <v>#DIV/0!</v>
      </c>
      <c r="FQ177" s="366" t="e">
        <f t="shared" si="375"/>
        <v>#DIV/0!</v>
      </c>
      <c r="FR177" s="359" t="e">
        <f>SUM(FF177:FQ177)</f>
        <v>#DIV/0!</v>
      </c>
      <c r="FS177" s="260" t="e">
        <f t="shared" si="370"/>
        <v>#DIV/0!</v>
      </c>
      <c r="FX177" s="351"/>
      <c r="FY177" s="351"/>
      <c r="FZ177" s="351"/>
      <c r="GA177" s="351"/>
      <c r="GB177" s="351"/>
      <c r="GC177" s="351"/>
      <c r="GD177" s="351"/>
      <c r="GE177" s="351"/>
      <c r="GF177" s="351"/>
      <c r="GG177" s="351"/>
      <c r="GH177" s="351"/>
      <c r="GJ177" s="262"/>
    </row>
    <row r="178" spans="160:195" ht="14.4" customHeight="1" x14ac:dyDescent="0.3">
      <c r="FE178" s="362"/>
      <c r="FF178" s="362"/>
      <c r="FG178" s="362"/>
      <c r="FH178" s="362"/>
      <c r="FI178" s="362"/>
      <c r="FJ178" s="362"/>
      <c r="FK178" s="362"/>
      <c r="FL178" s="362"/>
      <c r="FM178" s="362"/>
      <c r="FN178" s="362"/>
      <c r="FO178" s="362"/>
      <c r="FP178" s="362"/>
      <c r="FQ178" s="362"/>
      <c r="FR178" s="362"/>
      <c r="FS178" s="362"/>
      <c r="FX178" s="351"/>
      <c r="FY178" s="351"/>
      <c r="FZ178" s="351"/>
      <c r="GA178" s="351"/>
      <c r="GB178" s="351"/>
      <c r="GC178" s="351"/>
      <c r="GD178" s="351"/>
      <c r="GE178" s="351"/>
      <c r="GF178" s="351"/>
      <c r="GG178" s="351"/>
      <c r="GH178" s="351"/>
      <c r="GJ178" s="262"/>
    </row>
    <row r="179" spans="160:195" ht="14.4" customHeight="1" x14ac:dyDescent="0.3">
      <c r="FD179" s="443"/>
      <c r="FE179" s="357" t="s">
        <v>441</v>
      </c>
      <c r="FF179" s="358" t="e">
        <f>FF164-FF167-FF177</f>
        <v>#DIV/0!</v>
      </c>
      <c r="FG179" s="358" t="e">
        <f t="shared" ref="FG179:FR179" si="376">FG164-FG167-FG177</f>
        <v>#DIV/0!</v>
      </c>
      <c r="FH179" s="358" t="e">
        <f t="shared" si="376"/>
        <v>#DIV/0!</v>
      </c>
      <c r="FI179" s="358" t="e">
        <f t="shared" si="376"/>
        <v>#DIV/0!</v>
      </c>
      <c r="FJ179" s="358" t="e">
        <f t="shared" si="376"/>
        <v>#DIV/0!</v>
      </c>
      <c r="FK179" s="358" t="e">
        <f t="shared" si="376"/>
        <v>#DIV/0!</v>
      </c>
      <c r="FL179" s="358" t="e">
        <f t="shared" si="376"/>
        <v>#DIV/0!</v>
      </c>
      <c r="FM179" s="358" t="e">
        <f t="shared" si="376"/>
        <v>#DIV/0!</v>
      </c>
      <c r="FN179" s="358" t="e">
        <f t="shared" si="376"/>
        <v>#DIV/0!</v>
      </c>
      <c r="FO179" s="358" t="e">
        <f t="shared" si="376"/>
        <v>#DIV/0!</v>
      </c>
      <c r="FP179" s="358" t="e">
        <f t="shared" si="376"/>
        <v>#DIV/0!</v>
      </c>
      <c r="FQ179" s="358" t="e">
        <f t="shared" si="376"/>
        <v>#DIV/0!</v>
      </c>
      <c r="FR179" s="358" t="e">
        <f t="shared" si="376"/>
        <v>#DIV/0!</v>
      </c>
      <c r="FS179" s="260" t="e">
        <f t="shared" ref="FS179" si="377">FR179/$FR$6</f>
        <v>#DIV/0!</v>
      </c>
      <c r="FT179" s="444"/>
      <c r="FX179" s="351"/>
      <c r="FY179" s="351"/>
      <c r="FZ179" s="351"/>
      <c r="GA179" s="351"/>
      <c r="GB179" s="351"/>
      <c r="GC179" s="351"/>
      <c r="GD179" s="351"/>
      <c r="GE179" s="351"/>
      <c r="GF179" s="351"/>
      <c r="GG179" s="351"/>
      <c r="GH179" s="351"/>
      <c r="GJ179" s="262"/>
    </row>
    <row r="180" spans="160:195" ht="14.4" customHeight="1" x14ac:dyDescent="0.3">
      <c r="FD180" s="445"/>
      <c r="FE180" s="362"/>
      <c r="FF180" s="364"/>
      <c r="FG180" s="362"/>
      <c r="FH180" s="362"/>
      <c r="FI180" s="362"/>
      <c r="FJ180" s="362"/>
      <c r="FK180" s="362"/>
      <c r="FL180" s="362"/>
      <c r="FM180" s="362"/>
      <c r="FN180" s="362"/>
      <c r="FO180" s="362"/>
      <c r="FP180" s="362"/>
      <c r="FQ180" s="446"/>
      <c r="FR180" s="446"/>
      <c r="FT180" s="444"/>
      <c r="FX180" s="351"/>
      <c r="FY180" s="351"/>
      <c r="FZ180" s="351"/>
      <c r="GA180" s="351"/>
      <c r="GB180" s="351"/>
      <c r="GC180" s="351"/>
      <c r="GD180" s="351"/>
      <c r="GE180" s="351"/>
      <c r="GF180" s="351"/>
      <c r="GG180" s="351"/>
      <c r="GH180" s="351"/>
      <c r="GJ180" s="262"/>
    </row>
    <row r="181" spans="160:195" ht="14.4" customHeight="1" x14ac:dyDescent="0.3">
      <c r="FD181" s="445"/>
      <c r="FE181" s="443" t="s">
        <v>266</v>
      </c>
      <c r="FF181" s="447"/>
      <c r="FT181" s="444"/>
      <c r="FX181" s="351"/>
      <c r="FY181" s="351"/>
      <c r="FZ181" s="351"/>
      <c r="GA181" s="351"/>
      <c r="GB181" s="351"/>
      <c r="GC181" s="351"/>
      <c r="GD181" s="351"/>
      <c r="GE181" s="351"/>
      <c r="GF181" s="351"/>
      <c r="GG181" s="351"/>
      <c r="GH181" s="351"/>
      <c r="GJ181" s="262"/>
      <c r="GM181" s="362"/>
    </row>
    <row r="182" spans="160:195" ht="14.4" customHeight="1" x14ac:dyDescent="0.3">
      <c r="FD182" s="443"/>
      <c r="FE182" s="445" t="s">
        <v>267</v>
      </c>
      <c r="FF182" s="448" t="e">
        <f t="shared" ref="FF182:FR182" si="378">FF179</f>
        <v>#DIV/0!</v>
      </c>
      <c r="FG182" s="448" t="e">
        <f t="shared" si="378"/>
        <v>#DIV/0!</v>
      </c>
      <c r="FH182" s="448" t="e">
        <f t="shared" si="378"/>
        <v>#DIV/0!</v>
      </c>
      <c r="FI182" s="448" t="e">
        <f t="shared" si="378"/>
        <v>#DIV/0!</v>
      </c>
      <c r="FJ182" s="448" t="e">
        <f t="shared" si="378"/>
        <v>#DIV/0!</v>
      </c>
      <c r="FK182" s="448" t="e">
        <f t="shared" si="378"/>
        <v>#DIV/0!</v>
      </c>
      <c r="FL182" s="448" t="e">
        <f t="shared" si="378"/>
        <v>#DIV/0!</v>
      </c>
      <c r="FM182" s="448" t="e">
        <f t="shared" si="378"/>
        <v>#DIV/0!</v>
      </c>
      <c r="FN182" s="448" t="e">
        <f t="shared" si="378"/>
        <v>#DIV/0!</v>
      </c>
      <c r="FO182" s="448" t="e">
        <f t="shared" si="378"/>
        <v>#DIV/0!</v>
      </c>
      <c r="FP182" s="448" t="e">
        <f t="shared" si="378"/>
        <v>#DIV/0!</v>
      </c>
      <c r="FQ182" s="448" t="e">
        <f t="shared" si="378"/>
        <v>#DIV/0!</v>
      </c>
      <c r="FR182" s="448" t="e">
        <f t="shared" si="378"/>
        <v>#DIV/0!</v>
      </c>
      <c r="FT182" s="444"/>
      <c r="FX182" s="351"/>
      <c r="FY182" s="351"/>
      <c r="FZ182" s="351"/>
      <c r="GA182" s="351"/>
      <c r="GB182" s="351"/>
      <c r="GC182" s="351"/>
      <c r="GD182" s="351"/>
      <c r="GE182" s="351"/>
      <c r="GF182" s="351"/>
      <c r="GG182" s="351"/>
      <c r="GH182" s="351"/>
      <c r="GJ182" s="262"/>
    </row>
    <row r="183" spans="160:195" ht="14.4" customHeight="1" x14ac:dyDescent="0.3">
      <c r="FE183" s="445" t="s">
        <v>17</v>
      </c>
      <c r="FF183" s="448">
        <f t="shared" ref="FF183:FR183" si="379">FF6</f>
        <v>0</v>
      </c>
      <c r="FG183" s="448">
        <f t="shared" si="379"/>
        <v>0</v>
      </c>
      <c r="FH183" s="448">
        <f t="shared" si="379"/>
        <v>0</v>
      </c>
      <c r="FI183" s="448">
        <f t="shared" si="379"/>
        <v>0</v>
      </c>
      <c r="FJ183" s="448">
        <f t="shared" si="379"/>
        <v>0</v>
      </c>
      <c r="FK183" s="448">
        <f t="shared" si="379"/>
        <v>0</v>
      </c>
      <c r="FL183" s="448">
        <f t="shared" si="379"/>
        <v>0</v>
      </c>
      <c r="FM183" s="448">
        <f t="shared" si="379"/>
        <v>0</v>
      </c>
      <c r="FN183" s="448">
        <f t="shared" si="379"/>
        <v>0</v>
      </c>
      <c r="FO183" s="448">
        <f t="shared" si="379"/>
        <v>0</v>
      </c>
      <c r="FP183" s="448">
        <f t="shared" si="379"/>
        <v>0</v>
      </c>
      <c r="FQ183" s="448">
        <f t="shared" si="379"/>
        <v>0</v>
      </c>
      <c r="FR183" s="448">
        <f t="shared" si="379"/>
        <v>0</v>
      </c>
      <c r="FT183" s="449"/>
      <c r="FX183" s="351"/>
      <c r="FY183" s="351"/>
      <c r="FZ183" s="351"/>
      <c r="GA183" s="351"/>
      <c r="GB183" s="351"/>
      <c r="GC183" s="351"/>
      <c r="GD183" s="351"/>
      <c r="GE183" s="351"/>
      <c r="GF183" s="351"/>
      <c r="GG183" s="351"/>
      <c r="GH183" s="351"/>
      <c r="GJ183" s="262"/>
    </row>
    <row r="184" spans="160:195" ht="14.4" customHeight="1" x14ac:dyDescent="0.3">
      <c r="FE184" s="450" t="s">
        <v>268</v>
      </c>
      <c r="FF184" s="451">
        <f>IFERROR(FF182/FF183,0)</f>
        <v>0</v>
      </c>
      <c r="FG184" s="451">
        <f t="shared" ref="FG184:FR184" si="380">IFERROR(FG182/FG183,0)</f>
        <v>0</v>
      </c>
      <c r="FH184" s="451">
        <f t="shared" si="380"/>
        <v>0</v>
      </c>
      <c r="FI184" s="451">
        <f t="shared" si="380"/>
        <v>0</v>
      </c>
      <c r="FJ184" s="451">
        <f t="shared" si="380"/>
        <v>0</v>
      </c>
      <c r="FK184" s="451">
        <f t="shared" si="380"/>
        <v>0</v>
      </c>
      <c r="FL184" s="451">
        <f t="shared" si="380"/>
        <v>0</v>
      </c>
      <c r="FM184" s="451">
        <f t="shared" si="380"/>
        <v>0</v>
      </c>
      <c r="FN184" s="451">
        <f t="shared" si="380"/>
        <v>0</v>
      </c>
      <c r="FO184" s="451">
        <f t="shared" si="380"/>
        <v>0</v>
      </c>
      <c r="FP184" s="451">
        <f t="shared" si="380"/>
        <v>0</v>
      </c>
      <c r="FQ184" s="451">
        <f t="shared" si="380"/>
        <v>0</v>
      </c>
      <c r="FR184" s="451">
        <f t="shared" si="380"/>
        <v>0</v>
      </c>
      <c r="FX184" s="351"/>
      <c r="FY184" s="351"/>
      <c r="FZ184" s="351"/>
      <c r="GA184" s="351"/>
      <c r="GB184" s="351"/>
      <c r="GC184" s="351"/>
      <c r="GD184" s="351"/>
      <c r="GE184" s="351"/>
      <c r="GF184" s="351"/>
      <c r="GG184" s="351"/>
      <c r="GH184" s="351"/>
      <c r="GJ184" s="262"/>
    </row>
    <row r="185" spans="160:195" ht="14.4" customHeight="1" x14ac:dyDescent="0.3">
      <c r="FT185" s="452"/>
      <c r="FX185" s="351"/>
      <c r="FY185" s="351"/>
      <c r="FZ185" s="351"/>
      <c r="GA185" s="351"/>
      <c r="GB185" s="351"/>
      <c r="GC185" s="351"/>
      <c r="GD185" s="351"/>
      <c r="GE185" s="351"/>
      <c r="GF185" s="351"/>
      <c r="GG185" s="351"/>
      <c r="GH185" s="351"/>
      <c r="GJ185" s="262"/>
    </row>
    <row r="186" spans="160:195" ht="14.4" customHeight="1" x14ac:dyDescent="0.3">
      <c r="FT186" s="452"/>
      <c r="FX186" s="351"/>
      <c r="FY186" s="351"/>
      <c r="FZ186" s="351"/>
      <c r="GA186" s="351"/>
      <c r="GB186" s="351"/>
      <c r="GC186" s="351"/>
      <c r="GD186" s="351"/>
      <c r="GE186" s="351"/>
      <c r="GF186" s="351"/>
      <c r="GG186" s="351"/>
      <c r="GH186" s="351"/>
      <c r="GJ186" s="262"/>
    </row>
    <row r="187" spans="160:195" ht="14.4" customHeight="1" thickBot="1" x14ac:dyDescent="0.35">
      <c r="FE187" s="453" t="s">
        <v>269</v>
      </c>
      <c r="FF187" s="454"/>
      <c r="FG187" s="454"/>
      <c r="FH187" s="454"/>
      <c r="FI187" s="454"/>
      <c r="FJ187" s="454"/>
      <c r="FK187" s="454"/>
      <c r="FL187" s="454"/>
      <c r="FM187" s="454"/>
      <c r="FN187" s="454"/>
      <c r="FO187" s="454"/>
      <c r="FP187" s="454"/>
      <c r="FQ187" s="454"/>
      <c r="FR187" s="454"/>
      <c r="FT187" s="452"/>
      <c r="FX187" s="351"/>
      <c r="FY187" s="351"/>
      <c r="FZ187" s="351"/>
      <c r="GA187" s="351"/>
      <c r="GB187" s="351"/>
      <c r="GC187" s="351"/>
      <c r="GD187" s="351"/>
      <c r="GE187" s="351"/>
      <c r="GF187" s="351"/>
      <c r="GG187" s="351"/>
      <c r="GH187" s="351"/>
      <c r="GJ187" s="262"/>
    </row>
    <row r="188" spans="160:195" ht="14.4" customHeight="1" thickTop="1" thickBot="1" x14ac:dyDescent="0.35">
      <c r="FE188" s="455" t="s">
        <v>270</v>
      </c>
      <c r="FF188" s="456" t="e">
        <f t="shared" ref="FF188:FR188" si="381">FF10/FF6</f>
        <v>#DIV/0!</v>
      </c>
      <c r="FG188" s="456" t="e">
        <f t="shared" si="381"/>
        <v>#DIV/0!</v>
      </c>
      <c r="FH188" s="456" t="e">
        <f t="shared" si="381"/>
        <v>#DIV/0!</v>
      </c>
      <c r="FI188" s="456" t="e">
        <f t="shared" si="381"/>
        <v>#DIV/0!</v>
      </c>
      <c r="FJ188" s="456" t="e">
        <f t="shared" si="381"/>
        <v>#DIV/0!</v>
      </c>
      <c r="FK188" s="456" t="e">
        <f t="shared" si="381"/>
        <v>#DIV/0!</v>
      </c>
      <c r="FL188" s="456" t="e">
        <f t="shared" si="381"/>
        <v>#DIV/0!</v>
      </c>
      <c r="FM188" s="456" t="e">
        <f t="shared" si="381"/>
        <v>#DIV/0!</v>
      </c>
      <c r="FN188" s="456" t="e">
        <f t="shared" si="381"/>
        <v>#DIV/0!</v>
      </c>
      <c r="FO188" s="456" t="e">
        <f t="shared" si="381"/>
        <v>#DIV/0!</v>
      </c>
      <c r="FP188" s="456" t="e">
        <f t="shared" si="381"/>
        <v>#DIV/0!</v>
      </c>
      <c r="FQ188" s="456" t="e">
        <f t="shared" si="381"/>
        <v>#DIV/0!</v>
      </c>
      <c r="FR188" s="456" t="e">
        <f t="shared" si="381"/>
        <v>#DIV/0!</v>
      </c>
      <c r="FT188" s="452"/>
      <c r="FX188" s="351"/>
      <c r="FY188" s="351"/>
      <c r="FZ188" s="351"/>
      <c r="GA188" s="351"/>
      <c r="GB188" s="351"/>
      <c r="GC188" s="351"/>
      <c r="GD188" s="351"/>
      <c r="GE188" s="351"/>
      <c r="GF188" s="351"/>
      <c r="GG188" s="351"/>
      <c r="GH188" s="351"/>
      <c r="GJ188" s="262"/>
    </row>
    <row r="189" spans="160:195" ht="14.4" customHeight="1" thickTop="1" x14ac:dyDescent="0.3">
      <c r="FE189" s="457" t="s">
        <v>271</v>
      </c>
      <c r="FF189" s="458" t="e">
        <f t="shared" ref="FF189:FR189" si="382">FF32+FF167</f>
        <v>#DIV/0!</v>
      </c>
      <c r="FG189" s="458" t="e">
        <f t="shared" si="382"/>
        <v>#DIV/0!</v>
      </c>
      <c r="FH189" s="458" t="e">
        <f t="shared" si="382"/>
        <v>#DIV/0!</v>
      </c>
      <c r="FI189" s="458" t="e">
        <f t="shared" si="382"/>
        <v>#DIV/0!</v>
      </c>
      <c r="FJ189" s="458" t="e">
        <f t="shared" si="382"/>
        <v>#DIV/0!</v>
      </c>
      <c r="FK189" s="458" t="e">
        <f t="shared" si="382"/>
        <v>#DIV/0!</v>
      </c>
      <c r="FL189" s="458" t="e">
        <f t="shared" si="382"/>
        <v>#DIV/0!</v>
      </c>
      <c r="FM189" s="458" t="e">
        <f t="shared" si="382"/>
        <v>#DIV/0!</v>
      </c>
      <c r="FN189" s="458" t="e">
        <f t="shared" si="382"/>
        <v>#DIV/0!</v>
      </c>
      <c r="FO189" s="458" t="e">
        <f t="shared" si="382"/>
        <v>#DIV/0!</v>
      </c>
      <c r="FP189" s="458" t="e">
        <f t="shared" si="382"/>
        <v>#DIV/0!</v>
      </c>
      <c r="FQ189" s="458" t="e">
        <f t="shared" si="382"/>
        <v>#DIV/0!</v>
      </c>
      <c r="FR189" s="458" t="e">
        <f t="shared" si="382"/>
        <v>#DIV/0!</v>
      </c>
      <c r="FT189" s="452"/>
      <c r="FX189" s="351"/>
      <c r="FY189" s="351"/>
      <c r="FZ189" s="351"/>
      <c r="GA189" s="351"/>
      <c r="GB189" s="351"/>
      <c r="GC189" s="351"/>
      <c r="GD189" s="351"/>
      <c r="GE189" s="351"/>
      <c r="GF189" s="351"/>
      <c r="GG189" s="351"/>
      <c r="GH189" s="351"/>
      <c r="GJ189" s="262"/>
    </row>
    <row r="190" spans="160:195" ht="14.4" customHeight="1" x14ac:dyDescent="0.3">
      <c r="FE190" s="457" t="s">
        <v>272</v>
      </c>
      <c r="FF190" s="458" t="e">
        <f>FF189/FF188</f>
        <v>#DIV/0!</v>
      </c>
      <c r="FG190" s="458" t="e">
        <f t="shared" ref="FG190:FR190" si="383">FG189/FG188</f>
        <v>#DIV/0!</v>
      </c>
      <c r="FH190" s="458" t="e">
        <f t="shared" si="383"/>
        <v>#DIV/0!</v>
      </c>
      <c r="FI190" s="458" t="e">
        <f t="shared" si="383"/>
        <v>#DIV/0!</v>
      </c>
      <c r="FJ190" s="458" t="e">
        <f t="shared" si="383"/>
        <v>#DIV/0!</v>
      </c>
      <c r="FK190" s="458" t="e">
        <f t="shared" si="383"/>
        <v>#DIV/0!</v>
      </c>
      <c r="FL190" s="458" t="e">
        <f t="shared" si="383"/>
        <v>#DIV/0!</v>
      </c>
      <c r="FM190" s="458" t="e">
        <f t="shared" si="383"/>
        <v>#DIV/0!</v>
      </c>
      <c r="FN190" s="458" t="e">
        <f t="shared" si="383"/>
        <v>#DIV/0!</v>
      </c>
      <c r="FO190" s="458" t="e">
        <f t="shared" si="383"/>
        <v>#DIV/0!</v>
      </c>
      <c r="FP190" s="458" t="e">
        <f t="shared" si="383"/>
        <v>#DIV/0!</v>
      </c>
      <c r="FQ190" s="458" t="e">
        <f t="shared" si="383"/>
        <v>#DIV/0!</v>
      </c>
      <c r="FR190" s="458" t="e">
        <f t="shared" si="383"/>
        <v>#DIV/0!</v>
      </c>
      <c r="FT190" s="452"/>
      <c r="FX190" s="351"/>
      <c r="FY190" s="351"/>
      <c r="FZ190" s="351"/>
      <c r="GA190" s="351"/>
      <c r="GB190" s="351"/>
      <c r="GC190" s="351"/>
      <c r="GD190" s="351"/>
      <c r="GE190" s="351"/>
      <c r="GF190" s="351"/>
      <c r="GG190" s="351"/>
      <c r="GH190" s="351"/>
      <c r="GJ190" s="262"/>
    </row>
    <row r="191" spans="160:195" ht="14.4" customHeight="1" thickBot="1" x14ac:dyDescent="0.35">
      <c r="FE191" s="457" t="s">
        <v>273</v>
      </c>
      <c r="FF191" s="458" t="e">
        <f t="shared" ref="FF191:FR191" si="384">FF190*(FF9/FF6)</f>
        <v>#DIV/0!</v>
      </c>
      <c r="FG191" s="458" t="e">
        <f t="shared" si="384"/>
        <v>#DIV/0!</v>
      </c>
      <c r="FH191" s="458" t="e">
        <f t="shared" si="384"/>
        <v>#DIV/0!</v>
      </c>
      <c r="FI191" s="458" t="e">
        <f t="shared" si="384"/>
        <v>#DIV/0!</v>
      </c>
      <c r="FJ191" s="458" t="e">
        <f t="shared" si="384"/>
        <v>#DIV/0!</v>
      </c>
      <c r="FK191" s="458" t="e">
        <f t="shared" si="384"/>
        <v>#DIV/0!</v>
      </c>
      <c r="FL191" s="458" t="e">
        <f t="shared" si="384"/>
        <v>#DIV/0!</v>
      </c>
      <c r="FM191" s="458" t="e">
        <f t="shared" si="384"/>
        <v>#DIV/0!</v>
      </c>
      <c r="FN191" s="458" t="e">
        <f t="shared" si="384"/>
        <v>#DIV/0!</v>
      </c>
      <c r="FO191" s="458" t="e">
        <f t="shared" si="384"/>
        <v>#DIV/0!</v>
      </c>
      <c r="FP191" s="458" t="e">
        <f t="shared" si="384"/>
        <v>#DIV/0!</v>
      </c>
      <c r="FQ191" s="458" t="e">
        <f t="shared" si="384"/>
        <v>#DIV/0!</v>
      </c>
      <c r="FR191" s="458" t="e">
        <f t="shared" si="384"/>
        <v>#DIV/0!</v>
      </c>
      <c r="FT191" s="452"/>
      <c r="FX191" s="351"/>
      <c r="FY191" s="351"/>
      <c r="FZ191" s="351"/>
      <c r="GA191" s="351"/>
      <c r="GB191" s="351"/>
      <c r="GC191" s="351"/>
      <c r="GD191" s="351"/>
      <c r="GE191" s="351"/>
      <c r="GF191" s="351"/>
      <c r="GG191" s="351"/>
      <c r="GH191" s="351"/>
      <c r="GJ191" s="262"/>
    </row>
    <row r="192" spans="160:195" ht="14.4" customHeight="1" thickTop="1" x14ac:dyDescent="0.3">
      <c r="FE192" s="455" t="s">
        <v>274</v>
      </c>
      <c r="FF192" s="459" t="e">
        <f>FF190-FF191</f>
        <v>#DIV/0!</v>
      </c>
      <c r="FG192" s="459" t="e">
        <f t="shared" ref="FG192:FR192" si="385">FG190-FG191</f>
        <v>#DIV/0!</v>
      </c>
      <c r="FH192" s="459" t="e">
        <f t="shared" si="385"/>
        <v>#DIV/0!</v>
      </c>
      <c r="FI192" s="459" t="e">
        <f t="shared" si="385"/>
        <v>#DIV/0!</v>
      </c>
      <c r="FJ192" s="459" t="e">
        <f t="shared" si="385"/>
        <v>#DIV/0!</v>
      </c>
      <c r="FK192" s="459" t="e">
        <f t="shared" si="385"/>
        <v>#DIV/0!</v>
      </c>
      <c r="FL192" s="459" t="e">
        <f t="shared" si="385"/>
        <v>#DIV/0!</v>
      </c>
      <c r="FM192" s="459" t="e">
        <f t="shared" si="385"/>
        <v>#DIV/0!</v>
      </c>
      <c r="FN192" s="459" t="e">
        <f t="shared" si="385"/>
        <v>#DIV/0!</v>
      </c>
      <c r="FO192" s="459" t="e">
        <f t="shared" si="385"/>
        <v>#DIV/0!</v>
      </c>
      <c r="FP192" s="459" t="e">
        <f t="shared" si="385"/>
        <v>#DIV/0!</v>
      </c>
      <c r="FQ192" s="459" t="e">
        <f t="shared" si="385"/>
        <v>#DIV/0!</v>
      </c>
      <c r="FR192" s="459" t="e">
        <f t="shared" si="385"/>
        <v>#DIV/0!</v>
      </c>
      <c r="FT192" s="452"/>
      <c r="FX192" s="351"/>
      <c r="FY192" s="351"/>
      <c r="FZ192" s="351"/>
      <c r="GA192" s="351"/>
      <c r="GB192" s="351"/>
      <c r="GC192" s="351"/>
      <c r="GD192" s="351"/>
      <c r="GE192" s="351"/>
      <c r="GF192" s="351"/>
      <c r="GG192" s="351"/>
      <c r="GH192" s="351"/>
      <c r="GJ192" s="262"/>
    </row>
    <row r="193" spans="160:192" ht="14.4" customHeight="1" x14ac:dyDescent="0.3">
      <c r="FE193" s="460" t="s">
        <v>275</v>
      </c>
      <c r="FF193" s="458" t="e">
        <f>ROUND(FF192-FF189,0)</f>
        <v>#DIV/0!</v>
      </c>
      <c r="FG193" s="458" t="e">
        <f t="shared" ref="FG193:FR193" si="386">ROUND(FG192-FG189,0)</f>
        <v>#DIV/0!</v>
      </c>
      <c r="FH193" s="458" t="e">
        <f t="shared" si="386"/>
        <v>#DIV/0!</v>
      </c>
      <c r="FI193" s="458" t="e">
        <f t="shared" si="386"/>
        <v>#DIV/0!</v>
      </c>
      <c r="FJ193" s="458" t="e">
        <f t="shared" si="386"/>
        <v>#DIV/0!</v>
      </c>
      <c r="FK193" s="458" t="e">
        <f t="shared" si="386"/>
        <v>#DIV/0!</v>
      </c>
      <c r="FL193" s="458" t="e">
        <f t="shared" si="386"/>
        <v>#DIV/0!</v>
      </c>
      <c r="FM193" s="458" t="e">
        <f t="shared" si="386"/>
        <v>#DIV/0!</v>
      </c>
      <c r="FN193" s="458" t="e">
        <f t="shared" si="386"/>
        <v>#DIV/0!</v>
      </c>
      <c r="FO193" s="458" t="e">
        <f t="shared" si="386"/>
        <v>#DIV/0!</v>
      </c>
      <c r="FP193" s="458" t="e">
        <f t="shared" si="386"/>
        <v>#DIV/0!</v>
      </c>
      <c r="FQ193" s="458" t="e">
        <f t="shared" si="386"/>
        <v>#DIV/0!</v>
      </c>
      <c r="FR193" s="458" t="e">
        <f t="shared" si="386"/>
        <v>#DIV/0!</v>
      </c>
      <c r="FT193" s="452"/>
      <c r="FX193" s="351"/>
      <c r="FY193" s="351"/>
      <c r="FZ193" s="351"/>
      <c r="GA193" s="351"/>
      <c r="GB193" s="351"/>
      <c r="GC193" s="351"/>
      <c r="GD193" s="351"/>
      <c r="GE193" s="351"/>
      <c r="GF193" s="351"/>
      <c r="GG193" s="351"/>
      <c r="GH193" s="351"/>
      <c r="GJ193" s="262"/>
    </row>
    <row r="194" spans="160:192" ht="14.4" customHeight="1" x14ac:dyDescent="0.3">
      <c r="FT194" s="452"/>
      <c r="FX194" s="351"/>
      <c r="FY194" s="351"/>
      <c r="FZ194" s="351"/>
      <c r="GA194" s="351"/>
      <c r="GB194" s="351"/>
      <c r="GC194" s="351"/>
      <c r="GD194" s="351"/>
      <c r="GE194" s="351"/>
      <c r="GF194" s="351"/>
      <c r="GG194" s="351"/>
      <c r="GH194" s="351"/>
      <c r="GJ194" s="262"/>
    </row>
    <row r="195" spans="160:192" ht="14.4" customHeight="1" x14ac:dyDescent="0.3">
      <c r="FT195" s="452"/>
      <c r="FX195" s="351"/>
      <c r="FY195" s="351"/>
      <c r="FZ195" s="351"/>
      <c r="GA195" s="351"/>
      <c r="GB195" s="351"/>
      <c r="GC195" s="351"/>
      <c r="GD195" s="351"/>
      <c r="GE195" s="351"/>
      <c r="GF195" s="351"/>
      <c r="GG195" s="351"/>
      <c r="GH195" s="351"/>
      <c r="GJ195" s="262"/>
    </row>
    <row r="196" spans="160:192" ht="14.4" customHeight="1" x14ac:dyDescent="0.3">
      <c r="FT196" s="452"/>
      <c r="FX196" s="351"/>
      <c r="FY196" s="351"/>
      <c r="FZ196" s="351"/>
      <c r="GA196" s="351"/>
      <c r="GB196" s="351"/>
      <c r="GC196" s="351"/>
      <c r="GD196" s="351"/>
      <c r="GE196" s="351"/>
      <c r="GF196" s="351"/>
      <c r="GG196" s="351"/>
      <c r="GH196" s="351"/>
      <c r="GJ196" s="262"/>
    </row>
    <row r="197" spans="160:192" ht="14.4" customHeight="1" x14ac:dyDescent="0.3">
      <c r="FS197" s="256"/>
      <c r="FT197" s="452"/>
      <c r="FX197" s="351"/>
      <c r="FY197" s="351"/>
      <c r="FZ197" s="351"/>
      <c r="GA197" s="351"/>
      <c r="GB197" s="351"/>
      <c r="GC197" s="351"/>
      <c r="GD197" s="351"/>
      <c r="GE197" s="351"/>
      <c r="GF197" s="351"/>
      <c r="GG197" s="351"/>
      <c r="GH197" s="351"/>
      <c r="GJ197" s="262"/>
    </row>
    <row r="198" spans="160:192" ht="14.4" customHeight="1" x14ac:dyDescent="0.3">
      <c r="FT198" s="452"/>
      <c r="FX198" s="351"/>
      <c r="FY198" s="351"/>
      <c r="FZ198" s="351"/>
      <c r="GA198" s="351"/>
      <c r="GB198" s="351"/>
      <c r="GC198" s="351"/>
      <c r="GD198" s="351"/>
      <c r="GE198" s="351"/>
      <c r="GF198" s="351"/>
      <c r="GG198" s="351"/>
      <c r="GH198" s="351"/>
      <c r="GJ198" s="262"/>
    </row>
    <row r="199" spans="160:192" ht="14.4" customHeight="1" x14ac:dyDescent="0.3">
      <c r="FE199" s="259" t="s">
        <v>0</v>
      </c>
      <c r="FF199" s="461">
        <f>FF6</f>
        <v>0</v>
      </c>
      <c r="FG199" s="461">
        <f t="shared" ref="FG199:FQ199" si="387">FG6</f>
        <v>0</v>
      </c>
      <c r="FH199" s="461">
        <f t="shared" si="387"/>
        <v>0</v>
      </c>
      <c r="FI199" s="461">
        <f t="shared" si="387"/>
        <v>0</v>
      </c>
      <c r="FJ199" s="461">
        <f t="shared" si="387"/>
        <v>0</v>
      </c>
      <c r="FK199" s="461">
        <f t="shared" si="387"/>
        <v>0</v>
      </c>
      <c r="FL199" s="461">
        <f t="shared" si="387"/>
        <v>0</v>
      </c>
      <c r="FM199" s="461">
        <f t="shared" si="387"/>
        <v>0</v>
      </c>
      <c r="FN199" s="461">
        <f t="shared" si="387"/>
        <v>0</v>
      </c>
      <c r="FO199" s="461">
        <f t="shared" si="387"/>
        <v>0</v>
      </c>
      <c r="FP199" s="461">
        <f t="shared" si="387"/>
        <v>0</v>
      </c>
      <c r="FQ199" s="461">
        <f t="shared" si="387"/>
        <v>0</v>
      </c>
      <c r="FR199" s="462">
        <f>SUM(FF199:FQ199)</f>
        <v>0</v>
      </c>
      <c r="FS199" s="260" t="e">
        <f>FR201/$FR$201</f>
        <v>#DIV/0!</v>
      </c>
      <c r="FT199" s="452"/>
      <c r="FX199" s="351"/>
      <c r="FY199" s="351"/>
      <c r="FZ199" s="351"/>
      <c r="GA199" s="351"/>
      <c r="GB199" s="351"/>
      <c r="GC199" s="351"/>
      <c r="GD199" s="351"/>
      <c r="GE199" s="351"/>
      <c r="GF199" s="351"/>
      <c r="GG199" s="351"/>
      <c r="GH199" s="351"/>
      <c r="GJ199" s="262"/>
    </row>
    <row r="200" spans="160:192" ht="14.4" customHeight="1" x14ac:dyDescent="0.3">
      <c r="FE200" s="275" t="s">
        <v>1</v>
      </c>
      <c r="FF200" s="276" t="s">
        <v>2</v>
      </c>
      <c r="FG200" s="276" t="s">
        <v>3</v>
      </c>
      <c r="FH200" s="276" t="s">
        <v>4</v>
      </c>
      <c r="FI200" s="276" t="s">
        <v>5</v>
      </c>
      <c r="FJ200" s="276" t="s">
        <v>6</v>
      </c>
      <c r="FK200" s="276" t="s">
        <v>7</v>
      </c>
      <c r="FL200" s="276" t="s">
        <v>8</v>
      </c>
      <c r="FM200" s="276" t="s">
        <v>9</v>
      </c>
      <c r="FN200" s="276" t="s">
        <v>10</v>
      </c>
      <c r="FO200" s="276" t="s">
        <v>11</v>
      </c>
      <c r="FP200" s="276" t="s">
        <v>12</v>
      </c>
      <c r="FQ200" s="276" t="s">
        <v>13</v>
      </c>
      <c r="FR200" s="277" t="s">
        <v>14</v>
      </c>
      <c r="FS200" s="278">
        <f>FS7</f>
        <v>2.5000000000000001E-2</v>
      </c>
      <c r="FT200" s="452"/>
      <c r="FX200" s="351"/>
      <c r="FY200" s="351"/>
      <c r="FZ200" s="351"/>
      <c r="GA200" s="351"/>
      <c r="GB200" s="351"/>
      <c r="GC200" s="351"/>
      <c r="GD200" s="351"/>
      <c r="GE200" s="351"/>
      <c r="GF200" s="351"/>
      <c r="GG200" s="351"/>
      <c r="GH200" s="351"/>
      <c r="GJ200" s="262"/>
    </row>
    <row r="201" spans="160:192" ht="14.4" customHeight="1" x14ac:dyDescent="0.3">
      <c r="FE201" s="307" t="s">
        <v>15</v>
      </c>
      <c r="FF201" s="325">
        <f t="shared" ref="FF201:FQ201" si="388">+FF199*FF376</f>
        <v>0</v>
      </c>
      <c r="FG201" s="325">
        <f t="shared" si="388"/>
        <v>0</v>
      </c>
      <c r="FH201" s="325">
        <f t="shared" si="388"/>
        <v>0</v>
      </c>
      <c r="FI201" s="325">
        <f t="shared" si="388"/>
        <v>0</v>
      </c>
      <c r="FJ201" s="325">
        <f t="shared" si="388"/>
        <v>0</v>
      </c>
      <c r="FK201" s="325">
        <f t="shared" si="388"/>
        <v>0</v>
      </c>
      <c r="FL201" s="325">
        <f t="shared" si="388"/>
        <v>0</v>
      </c>
      <c r="FM201" s="325">
        <f t="shared" si="388"/>
        <v>0</v>
      </c>
      <c r="FN201" s="325">
        <f t="shared" si="388"/>
        <v>0</v>
      </c>
      <c r="FO201" s="325">
        <f t="shared" si="388"/>
        <v>0</v>
      </c>
      <c r="FP201" s="325">
        <f t="shared" si="388"/>
        <v>0</v>
      </c>
      <c r="FQ201" s="325">
        <f t="shared" si="388"/>
        <v>0</v>
      </c>
      <c r="FR201" s="309">
        <f>SUM(FF201:FQ201)</f>
        <v>0</v>
      </c>
      <c r="FS201" s="260" t="e">
        <f>+FR203/FR201</f>
        <v>#DIV/0!</v>
      </c>
      <c r="FT201" s="452"/>
      <c r="FX201" s="351"/>
      <c r="FY201" s="351"/>
      <c r="FZ201" s="351"/>
      <c r="GA201" s="351"/>
      <c r="GB201" s="351"/>
      <c r="GC201" s="351"/>
      <c r="GD201" s="351"/>
      <c r="GE201" s="351"/>
      <c r="GF201" s="351"/>
      <c r="GG201" s="351"/>
      <c r="GH201" s="351"/>
      <c r="GJ201" s="262"/>
    </row>
    <row r="202" spans="160:192" ht="14.4" customHeight="1" x14ac:dyDescent="0.3">
      <c r="FE202" s="324" t="s">
        <v>16</v>
      </c>
      <c r="FF202" s="325">
        <f t="shared" ref="FF202:FQ202" si="389">+FF201*$FS$200</f>
        <v>0</v>
      </c>
      <c r="FG202" s="325">
        <f t="shared" si="389"/>
        <v>0</v>
      </c>
      <c r="FH202" s="325">
        <f t="shared" si="389"/>
        <v>0</v>
      </c>
      <c r="FI202" s="325">
        <f t="shared" si="389"/>
        <v>0</v>
      </c>
      <c r="FJ202" s="325">
        <f t="shared" si="389"/>
        <v>0</v>
      </c>
      <c r="FK202" s="325">
        <f t="shared" si="389"/>
        <v>0</v>
      </c>
      <c r="FL202" s="325">
        <f t="shared" si="389"/>
        <v>0</v>
      </c>
      <c r="FM202" s="325">
        <f t="shared" si="389"/>
        <v>0</v>
      </c>
      <c r="FN202" s="325">
        <f t="shared" si="389"/>
        <v>0</v>
      </c>
      <c r="FO202" s="325">
        <f t="shared" si="389"/>
        <v>0</v>
      </c>
      <c r="FP202" s="325">
        <f t="shared" si="389"/>
        <v>0</v>
      </c>
      <c r="FQ202" s="325">
        <f t="shared" si="389"/>
        <v>0</v>
      </c>
      <c r="FR202" s="463">
        <f t="shared" ref="FR202:FR203" si="390">SUM(FF202:FQ202)</f>
        <v>0</v>
      </c>
      <c r="FS202" s="364" t="e">
        <f>FR204/$FR$201</f>
        <v>#DIV/0!</v>
      </c>
      <c r="FT202" s="452"/>
      <c r="FX202" s="351"/>
      <c r="FY202" s="351"/>
      <c r="FZ202" s="351"/>
      <c r="GA202" s="351"/>
      <c r="GB202" s="351"/>
      <c r="GC202" s="351"/>
      <c r="GD202" s="351"/>
      <c r="GE202" s="351"/>
      <c r="GF202" s="351"/>
      <c r="GG202" s="351"/>
      <c r="GH202" s="351"/>
      <c r="GJ202" s="262"/>
    </row>
    <row r="203" spans="160:192" ht="14.4" customHeight="1" x14ac:dyDescent="0.3">
      <c r="FE203" s="307" t="s">
        <v>17</v>
      </c>
      <c r="FF203" s="308">
        <f>+FF201-FF202</f>
        <v>0</v>
      </c>
      <c r="FG203" s="308">
        <f t="shared" ref="FG203:FQ203" si="391">+FG201-FG202</f>
        <v>0</v>
      </c>
      <c r="FH203" s="308">
        <f t="shared" si="391"/>
        <v>0</v>
      </c>
      <c r="FI203" s="308">
        <f t="shared" si="391"/>
        <v>0</v>
      </c>
      <c r="FJ203" s="308">
        <f t="shared" si="391"/>
        <v>0</v>
      </c>
      <c r="FK203" s="308">
        <f t="shared" si="391"/>
        <v>0</v>
      </c>
      <c r="FL203" s="308">
        <f t="shared" si="391"/>
        <v>0</v>
      </c>
      <c r="FM203" s="308">
        <f t="shared" si="391"/>
        <v>0</v>
      </c>
      <c r="FN203" s="308">
        <f t="shared" si="391"/>
        <v>0</v>
      </c>
      <c r="FO203" s="308">
        <f t="shared" si="391"/>
        <v>0</v>
      </c>
      <c r="FP203" s="308">
        <f t="shared" si="391"/>
        <v>0</v>
      </c>
      <c r="FQ203" s="308">
        <f t="shared" si="391"/>
        <v>0</v>
      </c>
      <c r="FR203" s="309">
        <f t="shared" si="390"/>
        <v>0</v>
      </c>
      <c r="FS203" s="260" t="e">
        <f>FR205/$FR$201</f>
        <v>#DIV/0!</v>
      </c>
      <c r="FT203" s="452"/>
      <c r="FX203" s="351"/>
      <c r="FY203" s="351"/>
      <c r="FZ203" s="351"/>
      <c r="GA203" s="351"/>
      <c r="GB203" s="351"/>
      <c r="GC203" s="351"/>
      <c r="GD203" s="351"/>
      <c r="GE203" s="351"/>
      <c r="GF203" s="351"/>
      <c r="GG203" s="351"/>
      <c r="GH203" s="351"/>
      <c r="GJ203" s="262"/>
    </row>
    <row r="204" spans="160:192" ht="14.4" customHeight="1" x14ac:dyDescent="0.3">
      <c r="FE204" s="324" t="s">
        <v>18</v>
      </c>
      <c r="FF204" s="325">
        <f t="shared" ref="FF204:FQ204" si="392">FF201*FF380</f>
        <v>0</v>
      </c>
      <c r="FG204" s="325">
        <f t="shared" si="392"/>
        <v>0</v>
      </c>
      <c r="FH204" s="325">
        <f t="shared" si="392"/>
        <v>0</v>
      </c>
      <c r="FI204" s="325">
        <f t="shared" si="392"/>
        <v>0</v>
      </c>
      <c r="FJ204" s="325">
        <f t="shared" si="392"/>
        <v>0</v>
      </c>
      <c r="FK204" s="325">
        <f t="shared" si="392"/>
        <v>0</v>
      </c>
      <c r="FL204" s="325">
        <f t="shared" si="392"/>
        <v>0</v>
      </c>
      <c r="FM204" s="325">
        <f t="shared" si="392"/>
        <v>0</v>
      </c>
      <c r="FN204" s="325">
        <f t="shared" si="392"/>
        <v>0</v>
      </c>
      <c r="FO204" s="325">
        <f t="shared" si="392"/>
        <v>0</v>
      </c>
      <c r="FP204" s="325">
        <f t="shared" si="392"/>
        <v>0</v>
      </c>
      <c r="FQ204" s="325">
        <f t="shared" si="392"/>
        <v>0</v>
      </c>
      <c r="FR204" s="309">
        <f>SUM(FF204:FQ204)</f>
        <v>0</v>
      </c>
      <c r="FT204" s="452"/>
      <c r="FX204" s="351"/>
      <c r="FY204" s="351"/>
      <c r="FZ204" s="351"/>
      <c r="GA204" s="351"/>
      <c r="GB204" s="351"/>
      <c r="GC204" s="351"/>
      <c r="GD204" s="351"/>
      <c r="GE204" s="351"/>
      <c r="GF204" s="351"/>
      <c r="GG204" s="351"/>
      <c r="GH204" s="351"/>
      <c r="GJ204" s="262"/>
    </row>
    <row r="205" spans="160:192" ht="14.4" customHeight="1" x14ac:dyDescent="0.3">
      <c r="FE205" s="307" t="s">
        <v>19</v>
      </c>
      <c r="FF205" s="308">
        <f>+FF203-FF204</f>
        <v>0</v>
      </c>
      <c r="FG205" s="308">
        <f t="shared" ref="FG205:FQ205" si="393">+FG203-FG204</f>
        <v>0</v>
      </c>
      <c r="FH205" s="308">
        <f t="shared" si="393"/>
        <v>0</v>
      </c>
      <c r="FI205" s="308">
        <f t="shared" si="393"/>
        <v>0</v>
      </c>
      <c r="FJ205" s="308">
        <f t="shared" si="393"/>
        <v>0</v>
      </c>
      <c r="FK205" s="308">
        <f t="shared" si="393"/>
        <v>0</v>
      </c>
      <c r="FL205" s="308">
        <f t="shared" si="393"/>
        <v>0</v>
      </c>
      <c r="FM205" s="308">
        <f t="shared" si="393"/>
        <v>0</v>
      </c>
      <c r="FN205" s="308">
        <f t="shared" si="393"/>
        <v>0</v>
      </c>
      <c r="FO205" s="308">
        <f t="shared" si="393"/>
        <v>0</v>
      </c>
      <c r="FP205" s="308">
        <f t="shared" si="393"/>
        <v>0</v>
      </c>
      <c r="FQ205" s="308">
        <f t="shared" si="393"/>
        <v>0</v>
      </c>
      <c r="FR205" s="309">
        <f t="shared" ref="FR205" si="394">SUM(FF205:FQ205)</f>
        <v>0</v>
      </c>
      <c r="FS205" s="260" t="e">
        <f t="shared" ref="FS205:FS233" si="395">FR207/$FR$201</f>
        <v>#DIV/0!</v>
      </c>
      <c r="FT205" s="452"/>
      <c r="FX205" s="351"/>
      <c r="FY205" s="351"/>
      <c r="FZ205" s="351"/>
      <c r="GA205" s="351"/>
      <c r="GB205" s="351"/>
      <c r="GC205" s="351"/>
      <c r="GD205" s="351"/>
      <c r="GE205" s="351"/>
      <c r="GF205" s="351"/>
      <c r="GG205" s="351"/>
      <c r="GH205" s="351"/>
      <c r="GJ205" s="262"/>
    </row>
    <row r="206" spans="160:192" ht="14.4" customHeight="1" x14ac:dyDescent="0.3">
      <c r="FD206" s="464" t="s">
        <v>21</v>
      </c>
      <c r="FG206" s="351">
        <f>+FG199/1.0222</f>
        <v>0</v>
      </c>
      <c r="FH206" s="351">
        <f t="shared" ref="FH206:FQ206" si="396">+FH199/1.0222</f>
        <v>0</v>
      </c>
      <c r="FI206" s="351">
        <f t="shared" si="396"/>
        <v>0</v>
      </c>
      <c r="FJ206" s="351">
        <f t="shared" si="396"/>
        <v>0</v>
      </c>
      <c r="FK206" s="351">
        <f t="shared" si="396"/>
        <v>0</v>
      </c>
      <c r="FL206" s="351">
        <f t="shared" si="396"/>
        <v>0</v>
      </c>
      <c r="FM206" s="351">
        <f t="shared" si="396"/>
        <v>0</v>
      </c>
      <c r="FN206" s="351">
        <f t="shared" si="396"/>
        <v>0</v>
      </c>
      <c r="FO206" s="351">
        <f t="shared" si="396"/>
        <v>0</v>
      </c>
      <c r="FP206" s="351">
        <f t="shared" si="396"/>
        <v>0</v>
      </c>
      <c r="FQ206" s="351">
        <f t="shared" si="396"/>
        <v>0</v>
      </c>
      <c r="FS206" s="260" t="e">
        <f t="shared" si="395"/>
        <v>#DIV/0!</v>
      </c>
      <c r="FT206" s="452"/>
      <c r="FX206" s="351"/>
      <c r="FY206" s="351"/>
      <c r="FZ206" s="351"/>
      <c r="GA206" s="351"/>
      <c r="GB206" s="351"/>
      <c r="GC206" s="351"/>
      <c r="GD206" s="351"/>
      <c r="GE206" s="351"/>
      <c r="GF206" s="351"/>
      <c r="GG206" s="351"/>
      <c r="GH206" s="351"/>
      <c r="GJ206" s="262"/>
    </row>
    <row r="207" spans="160:192" ht="14.4" customHeight="1" x14ac:dyDescent="0.3">
      <c r="FD207" s="397" t="s">
        <v>23</v>
      </c>
      <c r="FE207" s="307" t="s">
        <v>20</v>
      </c>
      <c r="FF207" s="355" t="e">
        <f t="shared" ref="FF207:FQ207" si="397">FF208+FF228+FF231+FF238+FF255+FF259+FF267+FF273+FF275+FF286+FF301+FF313+FF319+FF322</f>
        <v>#DIV/0!</v>
      </c>
      <c r="FG207" s="355" t="e">
        <f t="shared" si="397"/>
        <v>#DIV/0!</v>
      </c>
      <c r="FH207" s="355" t="e">
        <f t="shared" si="397"/>
        <v>#DIV/0!</v>
      </c>
      <c r="FI207" s="355" t="e">
        <f t="shared" si="397"/>
        <v>#DIV/0!</v>
      </c>
      <c r="FJ207" s="355" t="e">
        <f t="shared" si="397"/>
        <v>#DIV/0!</v>
      </c>
      <c r="FK207" s="355" t="e">
        <f t="shared" si="397"/>
        <v>#DIV/0!</v>
      </c>
      <c r="FL207" s="355" t="e">
        <f t="shared" si="397"/>
        <v>#DIV/0!</v>
      </c>
      <c r="FM207" s="355" t="e">
        <f t="shared" si="397"/>
        <v>#DIV/0!</v>
      </c>
      <c r="FN207" s="355" t="e">
        <f t="shared" si="397"/>
        <v>#DIV/0!</v>
      </c>
      <c r="FO207" s="355" t="e">
        <f t="shared" si="397"/>
        <v>#DIV/0!</v>
      </c>
      <c r="FP207" s="355" t="e">
        <f t="shared" si="397"/>
        <v>#DIV/0!</v>
      </c>
      <c r="FQ207" s="355" t="e">
        <f t="shared" si="397"/>
        <v>#DIV/0!</v>
      </c>
      <c r="FR207" s="355" t="e">
        <f>SUM(FF207:FQ207)</f>
        <v>#DIV/0!</v>
      </c>
      <c r="FS207" s="364" t="e">
        <f t="shared" si="395"/>
        <v>#DIV/0!</v>
      </c>
      <c r="FT207" s="362"/>
      <c r="FX207" s="351"/>
      <c r="FY207" s="351"/>
      <c r="FZ207" s="351"/>
      <c r="GA207" s="351"/>
      <c r="GB207" s="351"/>
      <c r="GC207" s="351"/>
      <c r="GD207" s="351"/>
      <c r="GE207" s="351"/>
      <c r="GF207" s="351"/>
      <c r="GG207" s="351"/>
      <c r="GH207" s="351"/>
      <c r="GJ207" s="262"/>
    </row>
    <row r="208" spans="160:192" ht="14.4" customHeight="1" x14ac:dyDescent="0.3">
      <c r="FD208" s="397" t="s">
        <v>25</v>
      </c>
      <c r="FE208" s="357" t="s">
        <v>22</v>
      </c>
      <c r="FF208" s="325" t="e">
        <f>SUM(FF209:FF227)</f>
        <v>#DIV/0!</v>
      </c>
      <c r="FG208" s="325" t="e">
        <f t="shared" ref="FG208:FQ208" si="398">SUM(FG209:FG227)</f>
        <v>#DIV/0!</v>
      </c>
      <c r="FH208" s="325" t="e">
        <f t="shared" si="398"/>
        <v>#DIV/0!</v>
      </c>
      <c r="FI208" s="325" t="e">
        <f t="shared" si="398"/>
        <v>#DIV/0!</v>
      </c>
      <c r="FJ208" s="325" t="e">
        <f t="shared" si="398"/>
        <v>#DIV/0!</v>
      </c>
      <c r="FK208" s="325" t="e">
        <f t="shared" si="398"/>
        <v>#DIV/0!</v>
      </c>
      <c r="FL208" s="325" t="e">
        <f t="shared" si="398"/>
        <v>#DIV/0!</v>
      </c>
      <c r="FM208" s="325" t="e">
        <f t="shared" si="398"/>
        <v>#DIV/0!</v>
      </c>
      <c r="FN208" s="325" t="e">
        <f t="shared" si="398"/>
        <v>#DIV/0!</v>
      </c>
      <c r="FO208" s="325" t="e">
        <f t="shared" si="398"/>
        <v>#DIV/0!</v>
      </c>
      <c r="FP208" s="325" t="e">
        <f t="shared" si="398"/>
        <v>#DIV/0!</v>
      </c>
      <c r="FQ208" s="325" t="e">
        <f t="shared" si="398"/>
        <v>#DIV/0!</v>
      </c>
      <c r="FR208" s="309" t="e">
        <f>SUM(FF208:FQ208)</f>
        <v>#DIV/0!</v>
      </c>
      <c r="FS208" s="364" t="e">
        <f t="shared" si="395"/>
        <v>#DIV/0!</v>
      </c>
      <c r="FT208" s="362"/>
      <c r="FX208" s="351"/>
      <c r="FY208" s="351"/>
      <c r="FZ208" s="351"/>
      <c r="GA208" s="351"/>
      <c r="GB208" s="351"/>
      <c r="GC208" s="351"/>
      <c r="GD208" s="351"/>
      <c r="GE208" s="351"/>
      <c r="GF208" s="351"/>
      <c r="GG208" s="351"/>
      <c r="GH208" s="351"/>
      <c r="GJ208" s="262"/>
    </row>
    <row r="209" spans="160:192" ht="14.4" customHeight="1" x14ac:dyDescent="0.3">
      <c r="FD209" s="397" t="s">
        <v>27</v>
      </c>
      <c r="FE209" s="399" t="str">
        <f>FE34</f>
        <v>Salario ordinario</v>
      </c>
      <c r="FF209" s="400">
        <v>0</v>
      </c>
      <c r="FG209" s="400">
        <v>0</v>
      </c>
      <c r="FH209" s="400">
        <v>0</v>
      </c>
      <c r="FI209" s="400">
        <v>0</v>
      </c>
      <c r="FJ209" s="400">
        <v>0</v>
      </c>
      <c r="FK209" s="400">
        <v>0</v>
      </c>
      <c r="FL209" s="400">
        <v>0</v>
      </c>
      <c r="FM209" s="400">
        <v>0</v>
      </c>
      <c r="FN209" s="400">
        <v>0</v>
      </c>
      <c r="FO209" s="400">
        <v>0</v>
      </c>
      <c r="FP209" s="400">
        <v>0</v>
      </c>
      <c r="FQ209" s="400">
        <v>0</v>
      </c>
      <c r="FR209" s="363">
        <f>SUM(FF209:FQ209)</f>
        <v>0</v>
      </c>
      <c r="FS209" s="364" t="e">
        <f t="shared" si="395"/>
        <v>#DIV/0!</v>
      </c>
      <c r="FT209" s="362"/>
      <c r="FX209" s="351"/>
      <c r="FY209" s="351"/>
      <c r="FZ209" s="351"/>
      <c r="GA209" s="351"/>
      <c r="GB209" s="351"/>
      <c r="GC209" s="351"/>
      <c r="GD209" s="351"/>
      <c r="GE209" s="351"/>
      <c r="GF209" s="351"/>
      <c r="GG209" s="351"/>
      <c r="GH209" s="351"/>
      <c r="GJ209" s="262"/>
    </row>
    <row r="210" spans="160:192" ht="14.4" customHeight="1" x14ac:dyDescent="0.3">
      <c r="FD210" s="397" t="s">
        <v>29</v>
      </c>
      <c r="FE210" s="399" t="str">
        <f t="shared" ref="FE210:FE227" si="399">FE35</f>
        <v>Horas extras</v>
      </c>
      <c r="FF210" s="437" t="e">
        <f>$FR$210*EQ5</f>
        <v>#DIV/0!</v>
      </c>
      <c r="FG210" s="437" t="e">
        <f t="shared" ref="FG210:FQ210" si="400">$FR$210*ER5</f>
        <v>#DIV/0!</v>
      </c>
      <c r="FH210" s="437" t="e">
        <f t="shared" si="400"/>
        <v>#DIV/0!</v>
      </c>
      <c r="FI210" s="437" t="e">
        <f t="shared" si="400"/>
        <v>#DIV/0!</v>
      </c>
      <c r="FJ210" s="437" t="e">
        <f t="shared" si="400"/>
        <v>#DIV/0!</v>
      </c>
      <c r="FK210" s="437" t="e">
        <f t="shared" si="400"/>
        <v>#DIV/0!</v>
      </c>
      <c r="FL210" s="437" t="e">
        <f t="shared" si="400"/>
        <v>#DIV/0!</v>
      </c>
      <c r="FM210" s="437" t="e">
        <f t="shared" si="400"/>
        <v>#DIV/0!</v>
      </c>
      <c r="FN210" s="437" t="e">
        <f t="shared" si="400"/>
        <v>#DIV/0!</v>
      </c>
      <c r="FO210" s="437" t="e">
        <f t="shared" si="400"/>
        <v>#DIV/0!</v>
      </c>
      <c r="FP210" s="437" t="e">
        <f t="shared" si="400"/>
        <v>#DIV/0!</v>
      </c>
      <c r="FQ210" s="437" t="e">
        <f t="shared" si="400"/>
        <v>#DIV/0!</v>
      </c>
      <c r="FR210" s="363">
        <v>61073.9</v>
      </c>
      <c r="FS210" s="364" t="e">
        <f t="shared" si="395"/>
        <v>#DIV/0!</v>
      </c>
      <c r="FT210" s="362"/>
      <c r="FX210" s="351"/>
      <c r="FY210" s="351"/>
      <c r="FZ210" s="351"/>
      <c r="GA210" s="351"/>
      <c r="GB210" s="351"/>
      <c r="GC210" s="351"/>
      <c r="GD210" s="351"/>
      <c r="GE210" s="351"/>
      <c r="GF210" s="351"/>
      <c r="GG210" s="351"/>
      <c r="GH210" s="351"/>
      <c r="GJ210" s="262"/>
    </row>
    <row r="211" spans="160:192" ht="14.4" customHeight="1" x14ac:dyDescent="0.3">
      <c r="FD211" s="397" t="s">
        <v>31</v>
      </c>
      <c r="FE211" s="399" t="str">
        <f t="shared" si="399"/>
        <v>Comisiones por ventas</v>
      </c>
      <c r="FF211" s="400">
        <v>0</v>
      </c>
      <c r="FG211" s="400">
        <v>0</v>
      </c>
      <c r="FH211" s="400">
        <v>0</v>
      </c>
      <c r="FI211" s="400">
        <v>0</v>
      </c>
      <c r="FJ211" s="400">
        <v>0</v>
      </c>
      <c r="FK211" s="400">
        <v>0</v>
      </c>
      <c r="FL211" s="400">
        <v>0</v>
      </c>
      <c r="FM211" s="400">
        <v>0</v>
      </c>
      <c r="FN211" s="400">
        <v>0</v>
      </c>
      <c r="FO211" s="400">
        <v>0</v>
      </c>
      <c r="FP211" s="400">
        <v>0</v>
      </c>
      <c r="FQ211" s="400">
        <v>0</v>
      </c>
      <c r="FR211" s="363">
        <f t="shared" ref="FR211:FR227" si="401">SUM(FF211:FQ211)</f>
        <v>0</v>
      </c>
      <c r="FS211" s="364" t="e">
        <f t="shared" si="395"/>
        <v>#DIV/0!</v>
      </c>
      <c r="FT211" s="362"/>
      <c r="FX211" s="351"/>
      <c r="FY211" s="351"/>
      <c r="FZ211" s="351"/>
      <c r="GA211" s="351"/>
      <c r="GB211" s="351"/>
      <c r="GC211" s="351"/>
      <c r="GD211" s="351"/>
      <c r="GE211" s="351"/>
      <c r="GF211" s="351"/>
      <c r="GG211" s="351"/>
      <c r="GH211" s="351"/>
      <c r="GJ211" s="262"/>
    </row>
    <row r="212" spans="160:192" ht="14.4" customHeight="1" x14ac:dyDescent="0.3">
      <c r="FD212" s="397" t="s">
        <v>33</v>
      </c>
      <c r="FE212" s="399" t="str">
        <f t="shared" si="399"/>
        <v>Incentivos</v>
      </c>
      <c r="FF212" s="400">
        <v>0</v>
      </c>
      <c r="FG212" s="400">
        <v>0</v>
      </c>
      <c r="FH212" s="400">
        <v>0</v>
      </c>
      <c r="FI212" s="400">
        <v>0</v>
      </c>
      <c r="FJ212" s="400">
        <v>0</v>
      </c>
      <c r="FK212" s="400">
        <v>0</v>
      </c>
      <c r="FL212" s="400">
        <v>0</v>
      </c>
      <c r="FM212" s="400">
        <v>0</v>
      </c>
      <c r="FN212" s="400">
        <v>0</v>
      </c>
      <c r="FO212" s="400">
        <v>0</v>
      </c>
      <c r="FP212" s="400">
        <v>0</v>
      </c>
      <c r="FQ212" s="400">
        <v>0</v>
      </c>
      <c r="FR212" s="363">
        <f t="shared" si="401"/>
        <v>0</v>
      </c>
      <c r="FS212" s="364" t="e">
        <f t="shared" si="395"/>
        <v>#DIV/0!</v>
      </c>
      <c r="FT212" s="362"/>
      <c r="FX212" s="351"/>
      <c r="FY212" s="351"/>
      <c r="FZ212" s="351"/>
      <c r="GA212" s="351"/>
      <c r="GB212" s="351"/>
      <c r="GC212" s="351"/>
      <c r="GD212" s="351"/>
      <c r="GE212" s="351"/>
      <c r="GF212" s="351"/>
      <c r="GG212" s="351"/>
      <c r="GH212" s="351"/>
      <c r="GJ212" s="262"/>
    </row>
    <row r="213" spans="160:192" ht="14.4" customHeight="1" x14ac:dyDescent="0.3">
      <c r="FD213" s="397" t="s">
        <v>35</v>
      </c>
      <c r="FE213" s="399" t="str">
        <f t="shared" si="399"/>
        <v>Bonificaciones</v>
      </c>
      <c r="FF213" s="400">
        <v>0</v>
      </c>
      <c r="FG213" s="400">
        <v>0</v>
      </c>
      <c r="FH213" s="400">
        <v>0</v>
      </c>
      <c r="FI213" s="400">
        <v>0</v>
      </c>
      <c r="FJ213" s="400">
        <v>0</v>
      </c>
      <c r="FK213" s="400">
        <v>0</v>
      </c>
      <c r="FL213" s="400">
        <v>0</v>
      </c>
      <c r="FM213" s="400">
        <v>0</v>
      </c>
      <c r="FN213" s="400">
        <v>0</v>
      </c>
      <c r="FO213" s="400">
        <v>0</v>
      </c>
      <c r="FP213" s="400">
        <v>0</v>
      </c>
      <c r="FQ213" s="400">
        <v>0</v>
      </c>
      <c r="FR213" s="363">
        <f t="shared" si="401"/>
        <v>0</v>
      </c>
      <c r="FS213" s="364" t="e">
        <f t="shared" si="395"/>
        <v>#DIV/0!</v>
      </c>
      <c r="FT213" s="362"/>
      <c r="FX213" s="351"/>
      <c r="FY213" s="351"/>
      <c r="FZ213" s="351"/>
      <c r="GA213" s="351"/>
      <c r="GB213" s="351"/>
      <c r="GC213" s="351"/>
      <c r="GD213" s="351"/>
      <c r="GE213" s="351"/>
      <c r="GF213" s="351"/>
      <c r="GG213" s="351"/>
      <c r="GH213" s="351"/>
      <c r="GJ213" s="262"/>
    </row>
    <row r="214" spans="160:192" ht="14.4" customHeight="1" x14ac:dyDescent="0.3">
      <c r="FD214" s="397" t="s">
        <v>37</v>
      </c>
      <c r="FE214" s="399" t="str">
        <f t="shared" si="399"/>
        <v>Deprec. Veh. Empleados</v>
      </c>
      <c r="FF214" s="400">
        <v>0</v>
      </c>
      <c r="FG214" s="400">
        <v>0</v>
      </c>
      <c r="FH214" s="400">
        <v>0</v>
      </c>
      <c r="FI214" s="400">
        <v>0</v>
      </c>
      <c r="FJ214" s="400">
        <v>0</v>
      </c>
      <c r="FK214" s="400">
        <v>0</v>
      </c>
      <c r="FL214" s="400">
        <v>0</v>
      </c>
      <c r="FM214" s="400">
        <v>0</v>
      </c>
      <c r="FN214" s="400">
        <v>0</v>
      </c>
      <c r="FO214" s="400">
        <v>0</v>
      </c>
      <c r="FP214" s="400">
        <v>0</v>
      </c>
      <c r="FQ214" s="400">
        <v>0</v>
      </c>
      <c r="FR214" s="363">
        <f t="shared" si="401"/>
        <v>0</v>
      </c>
      <c r="FS214" s="364" t="e">
        <f t="shared" si="395"/>
        <v>#DIV/0!</v>
      </c>
      <c r="FT214" s="362"/>
      <c r="FX214" s="351"/>
      <c r="FY214" s="351"/>
      <c r="FZ214" s="351"/>
      <c r="GA214" s="351"/>
      <c r="GB214" s="351"/>
      <c r="GC214" s="351"/>
      <c r="GD214" s="351"/>
      <c r="GE214" s="351"/>
      <c r="GF214" s="351"/>
      <c r="GG214" s="351"/>
      <c r="GH214" s="351"/>
      <c r="GJ214" s="262"/>
    </row>
    <row r="215" spans="160:192" ht="14.4" customHeight="1" x14ac:dyDescent="0.3">
      <c r="FD215" s="397" t="s">
        <v>39</v>
      </c>
      <c r="FE215" s="399" t="str">
        <f t="shared" si="399"/>
        <v>Viaticos de alimentación</v>
      </c>
      <c r="FF215" s="400">
        <v>0</v>
      </c>
      <c r="FG215" s="400">
        <v>0</v>
      </c>
      <c r="FH215" s="400">
        <v>0</v>
      </c>
      <c r="FI215" s="400">
        <v>0</v>
      </c>
      <c r="FJ215" s="400">
        <v>0</v>
      </c>
      <c r="FK215" s="400">
        <v>0</v>
      </c>
      <c r="FL215" s="400">
        <v>0</v>
      </c>
      <c r="FM215" s="400">
        <v>0</v>
      </c>
      <c r="FN215" s="400">
        <v>0</v>
      </c>
      <c r="FO215" s="400">
        <v>0</v>
      </c>
      <c r="FP215" s="400">
        <v>0</v>
      </c>
      <c r="FQ215" s="400">
        <v>0</v>
      </c>
      <c r="FR215" s="363">
        <f t="shared" si="401"/>
        <v>0</v>
      </c>
      <c r="FS215" s="364" t="e">
        <f t="shared" si="395"/>
        <v>#DIV/0!</v>
      </c>
      <c r="FT215" s="362"/>
      <c r="FX215" s="351"/>
      <c r="FY215" s="351"/>
      <c r="FZ215" s="351"/>
      <c r="GA215" s="351"/>
      <c r="GB215" s="351"/>
      <c r="GC215" s="351"/>
      <c r="GD215" s="351"/>
      <c r="GE215" s="351"/>
      <c r="GF215" s="351"/>
      <c r="GG215" s="351"/>
      <c r="GH215" s="351"/>
      <c r="GJ215" s="262"/>
    </row>
    <row r="216" spans="160:192" ht="14.4" customHeight="1" x14ac:dyDescent="0.3">
      <c r="FD216" s="397" t="s">
        <v>41</v>
      </c>
      <c r="FE216" s="399" t="str">
        <f t="shared" si="399"/>
        <v>Viaticos de transporte</v>
      </c>
      <c r="FF216" s="437" t="e">
        <f>$FR$216*EQ5</f>
        <v>#DIV/0!</v>
      </c>
      <c r="FG216" s="437" t="e">
        <f t="shared" ref="FG216:FQ216" si="402">$FR$216*ER5</f>
        <v>#DIV/0!</v>
      </c>
      <c r="FH216" s="437" t="e">
        <f t="shared" si="402"/>
        <v>#DIV/0!</v>
      </c>
      <c r="FI216" s="437" t="e">
        <f t="shared" si="402"/>
        <v>#DIV/0!</v>
      </c>
      <c r="FJ216" s="437" t="e">
        <f t="shared" si="402"/>
        <v>#DIV/0!</v>
      </c>
      <c r="FK216" s="437" t="e">
        <f t="shared" si="402"/>
        <v>#DIV/0!</v>
      </c>
      <c r="FL216" s="437" t="e">
        <f t="shared" si="402"/>
        <v>#DIV/0!</v>
      </c>
      <c r="FM216" s="437" t="e">
        <f t="shared" si="402"/>
        <v>#DIV/0!</v>
      </c>
      <c r="FN216" s="437" t="e">
        <f t="shared" si="402"/>
        <v>#DIV/0!</v>
      </c>
      <c r="FO216" s="437" t="e">
        <f t="shared" si="402"/>
        <v>#DIV/0!</v>
      </c>
      <c r="FP216" s="437" t="e">
        <f t="shared" si="402"/>
        <v>#DIV/0!</v>
      </c>
      <c r="FQ216" s="437" t="e">
        <f t="shared" si="402"/>
        <v>#DIV/0!</v>
      </c>
      <c r="FR216" s="363">
        <v>57600</v>
      </c>
      <c r="FS216" s="364" t="e">
        <f t="shared" si="395"/>
        <v>#DIV/0!</v>
      </c>
      <c r="FT216" s="362"/>
      <c r="FX216" s="351"/>
      <c r="FY216" s="351"/>
      <c r="FZ216" s="351"/>
      <c r="GA216" s="351"/>
      <c r="GB216" s="351"/>
      <c r="GC216" s="351"/>
      <c r="GD216" s="351"/>
      <c r="GE216" s="351"/>
      <c r="GF216" s="351"/>
      <c r="GG216" s="351"/>
      <c r="GH216" s="351"/>
      <c r="GJ216" s="262"/>
    </row>
    <row r="217" spans="160:192" ht="14.4" customHeight="1" x14ac:dyDescent="0.3">
      <c r="FD217" s="397" t="s">
        <v>43</v>
      </c>
      <c r="FE217" s="399" t="str">
        <f t="shared" si="399"/>
        <v>Vacaciones</v>
      </c>
      <c r="FF217" s="437">
        <f t="shared" ref="FF217:FQ217" si="403">FF209*$FT$217</f>
        <v>0</v>
      </c>
      <c r="FG217" s="437">
        <f t="shared" si="403"/>
        <v>0</v>
      </c>
      <c r="FH217" s="437">
        <f t="shared" si="403"/>
        <v>0</v>
      </c>
      <c r="FI217" s="437">
        <f t="shared" si="403"/>
        <v>0</v>
      </c>
      <c r="FJ217" s="437">
        <f t="shared" si="403"/>
        <v>0</v>
      </c>
      <c r="FK217" s="437">
        <f t="shared" si="403"/>
        <v>0</v>
      </c>
      <c r="FL217" s="437">
        <f t="shared" si="403"/>
        <v>0</v>
      </c>
      <c r="FM217" s="437">
        <f t="shared" si="403"/>
        <v>0</v>
      </c>
      <c r="FN217" s="437">
        <f t="shared" si="403"/>
        <v>0</v>
      </c>
      <c r="FO217" s="437">
        <f t="shared" si="403"/>
        <v>0</v>
      </c>
      <c r="FP217" s="437">
        <f t="shared" si="403"/>
        <v>0</v>
      </c>
      <c r="FQ217" s="437">
        <f t="shared" si="403"/>
        <v>0</v>
      </c>
      <c r="FR217" s="363">
        <f t="shared" si="401"/>
        <v>0</v>
      </c>
      <c r="FS217" s="364" t="e">
        <f t="shared" si="395"/>
        <v>#DIV/0!</v>
      </c>
      <c r="FT217" s="465">
        <v>8.3299999999999999E-2</v>
      </c>
      <c r="FX217" s="351"/>
      <c r="FY217" s="351"/>
      <c r="FZ217" s="351"/>
      <c r="GA217" s="351"/>
      <c r="GB217" s="351"/>
      <c r="GC217" s="351"/>
      <c r="GD217" s="351"/>
      <c r="GE217" s="351"/>
      <c r="GF217" s="351"/>
      <c r="GG217" s="351"/>
      <c r="GH217" s="351"/>
      <c r="GJ217" s="262"/>
    </row>
    <row r="218" spans="160:192" ht="14.4" customHeight="1" x14ac:dyDescent="0.3">
      <c r="FD218" s="397" t="s">
        <v>45</v>
      </c>
      <c r="FE218" s="399" t="str">
        <f t="shared" si="399"/>
        <v>Aguinaldo</v>
      </c>
      <c r="FF218" s="437">
        <f t="shared" ref="FF218:FQ218" si="404">FF209*$FT$218</f>
        <v>0</v>
      </c>
      <c r="FG218" s="437">
        <f t="shared" si="404"/>
        <v>0</v>
      </c>
      <c r="FH218" s="437">
        <f t="shared" si="404"/>
        <v>0</v>
      </c>
      <c r="FI218" s="437">
        <f t="shared" si="404"/>
        <v>0</v>
      </c>
      <c r="FJ218" s="437">
        <f t="shared" si="404"/>
        <v>0</v>
      </c>
      <c r="FK218" s="437">
        <f t="shared" si="404"/>
        <v>0</v>
      </c>
      <c r="FL218" s="437">
        <f t="shared" si="404"/>
        <v>0</v>
      </c>
      <c r="FM218" s="437">
        <f t="shared" si="404"/>
        <v>0</v>
      </c>
      <c r="FN218" s="437">
        <f t="shared" si="404"/>
        <v>0</v>
      </c>
      <c r="FO218" s="437">
        <f t="shared" si="404"/>
        <v>0</v>
      </c>
      <c r="FP218" s="437">
        <f t="shared" si="404"/>
        <v>0</v>
      </c>
      <c r="FQ218" s="437">
        <f t="shared" si="404"/>
        <v>0</v>
      </c>
      <c r="FR218" s="363">
        <f t="shared" si="401"/>
        <v>0</v>
      </c>
      <c r="FS218" s="364" t="e">
        <f t="shared" si="395"/>
        <v>#DIV/0!</v>
      </c>
      <c r="FT218" s="465">
        <v>8.3299999999999999E-2</v>
      </c>
      <c r="FX218" s="351"/>
      <c r="FY218" s="351"/>
      <c r="FZ218" s="351"/>
      <c r="GA218" s="351"/>
      <c r="GB218" s="351"/>
      <c r="GC218" s="351"/>
      <c r="GD218" s="351"/>
      <c r="GE218" s="351"/>
      <c r="GF218" s="351"/>
      <c r="GG218" s="351"/>
      <c r="GH218" s="351"/>
      <c r="GJ218" s="262"/>
    </row>
    <row r="219" spans="160:192" ht="14.4" customHeight="1" x14ac:dyDescent="0.3">
      <c r="FD219" s="397" t="s">
        <v>46</v>
      </c>
      <c r="FE219" s="399" t="str">
        <f t="shared" si="399"/>
        <v>Indemnizacion</v>
      </c>
      <c r="FF219" s="437">
        <f>FF209*$FT$218</f>
        <v>0</v>
      </c>
      <c r="FG219" s="437">
        <f t="shared" ref="FG219:FQ219" si="405">FG209*$FT$218</f>
        <v>0</v>
      </c>
      <c r="FH219" s="437">
        <f t="shared" si="405"/>
        <v>0</v>
      </c>
      <c r="FI219" s="437">
        <f t="shared" si="405"/>
        <v>0</v>
      </c>
      <c r="FJ219" s="437">
        <f t="shared" si="405"/>
        <v>0</v>
      </c>
      <c r="FK219" s="437">
        <f t="shared" si="405"/>
        <v>0</v>
      </c>
      <c r="FL219" s="437">
        <f t="shared" si="405"/>
        <v>0</v>
      </c>
      <c r="FM219" s="437">
        <f t="shared" si="405"/>
        <v>0</v>
      </c>
      <c r="FN219" s="437">
        <f t="shared" si="405"/>
        <v>0</v>
      </c>
      <c r="FO219" s="437">
        <f t="shared" si="405"/>
        <v>0</v>
      </c>
      <c r="FP219" s="437">
        <f t="shared" si="405"/>
        <v>0</v>
      </c>
      <c r="FQ219" s="437">
        <f t="shared" si="405"/>
        <v>0</v>
      </c>
      <c r="FR219" s="363">
        <f t="shared" si="401"/>
        <v>0</v>
      </c>
      <c r="FS219" s="364" t="e">
        <f t="shared" si="395"/>
        <v>#DIV/0!</v>
      </c>
      <c r="FT219" s="465">
        <v>8.3299999999999999E-2</v>
      </c>
      <c r="FX219" s="351"/>
      <c r="FY219" s="351"/>
      <c r="FZ219" s="351"/>
      <c r="GA219" s="351"/>
      <c r="GB219" s="351"/>
      <c r="GC219" s="351"/>
      <c r="GD219" s="351"/>
      <c r="GE219" s="351"/>
      <c r="GF219" s="351"/>
      <c r="GG219" s="351"/>
      <c r="GH219" s="351"/>
      <c r="GJ219" s="262"/>
    </row>
    <row r="220" spans="160:192" ht="14.4" customHeight="1" x14ac:dyDescent="0.3">
      <c r="FD220" s="397" t="s">
        <v>47</v>
      </c>
      <c r="FE220" s="399" t="str">
        <f t="shared" si="399"/>
        <v>Cuota capacitación por ley</v>
      </c>
      <c r="FF220" s="437">
        <f t="shared" ref="FF220:FQ220" si="406">FF209*$FT$220</f>
        <v>0</v>
      </c>
      <c r="FG220" s="437">
        <f t="shared" si="406"/>
        <v>0</v>
      </c>
      <c r="FH220" s="437">
        <f t="shared" si="406"/>
        <v>0</v>
      </c>
      <c r="FI220" s="437">
        <f t="shared" si="406"/>
        <v>0</v>
      </c>
      <c r="FJ220" s="437">
        <f t="shared" si="406"/>
        <v>0</v>
      </c>
      <c r="FK220" s="437">
        <f t="shared" si="406"/>
        <v>0</v>
      </c>
      <c r="FL220" s="437">
        <f t="shared" si="406"/>
        <v>0</v>
      </c>
      <c r="FM220" s="437">
        <f t="shared" si="406"/>
        <v>0</v>
      </c>
      <c r="FN220" s="437">
        <f t="shared" si="406"/>
        <v>0</v>
      </c>
      <c r="FO220" s="437">
        <f t="shared" si="406"/>
        <v>0</v>
      </c>
      <c r="FP220" s="437">
        <f t="shared" si="406"/>
        <v>0</v>
      </c>
      <c r="FQ220" s="437">
        <f t="shared" si="406"/>
        <v>0</v>
      </c>
      <c r="FR220" s="363">
        <f t="shared" si="401"/>
        <v>0</v>
      </c>
      <c r="FS220" s="364" t="e">
        <f t="shared" si="395"/>
        <v>#DIV/0!</v>
      </c>
      <c r="FT220" s="465">
        <v>0.02</v>
      </c>
      <c r="FX220" s="351"/>
      <c r="FY220" s="351"/>
      <c r="FZ220" s="351"/>
      <c r="GA220" s="351"/>
      <c r="GB220" s="351"/>
      <c r="GC220" s="351"/>
      <c r="GD220" s="351"/>
      <c r="GE220" s="351"/>
      <c r="GF220" s="351"/>
      <c r="GG220" s="351"/>
      <c r="GH220" s="351"/>
      <c r="GJ220" s="262"/>
    </row>
    <row r="221" spans="160:192" ht="14.4" customHeight="1" x14ac:dyDescent="0.3">
      <c r="FD221" s="397" t="s">
        <v>49</v>
      </c>
      <c r="FE221" s="399" t="str">
        <f t="shared" si="399"/>
        <v>Cuota seguro patronal</v>
      </c>
      <c r="FF221" s="437">
        <f t="shared" ref="FF221:FQ221" si="407">FF209*$FT$221</f>
        <v>0</v>
      </c>
      <c r="FG221" s="437">
        <f t="shared" si="407"/>
        <v>0</v>
      </c>
      <c r="FH221" s="437">
        <f t="shared" si="407"/>
        <v>0</v>
      </c>
      <c r="FI221" s="437">
        <f t="shared" si="407"/>
        <v>0</v>
      </c>
      <c r="FJ221" s="437">
        <f t="shared" si="407"/>
        <v>0</v>
      </c>
      <c r="FK221" s="437">
        <f t="shared" si="407"/>
        <v>0</v>
      </c>
      <c r="FL221" s="437">
        <f t="shared" si="407"/>
        <v>0</v>
      </c>
      <c r="FM221" s="437">
        <f t="shared" si="407"/>
        <v>0</v>
      </c>
      <c r="FN221" s="437">
        <f t="shared" si="407"/>
        <v>0</v>
      </c>
      <c r="FO221" s="437">
        <f t="shared" si="407"/>
        <v>0</v>
      </c>
      <c r="FP221" s="437">
        <f t="shared" si="407"/>
        <v>0</v>
      </c>
      <c r="FQ221" s="437">
        <f t="shared" si="407"/>
        <v>0</v>
      </c>
      <c r="FR221" s="363">
        <f t="shared" si="401"/>
        <v>0</v>
      </c>
      <c r="FS221" s="364" t="e">
        <f t="shared" si="395"/>
        <v>#DIV/0!</v>
      </c>
      <c r="FT221" s="465">
        <v>0.22500000000000001</v>
      </c>
      <c r="FX221" s="351"/>
      <c r="FY221" s="351"/>
      <c r="FZ221" s="351"/>
      <c r="GA221" s="351"/>
      <c r="GB221" s="351"/>
      <c r="GC221" s="351"/>
      <c r="GD221" s="351"/>
      <c r="GE221" s="351"/>
      <c r="GF221" s="351"/>
      <c r="GG221" s="351"/>
      <c r="GH221" s="351"/>
      <c r="GJ221" s="262"/>
    </row>
    <row r="222" spans="160:192" ht="14.4" customHeight="1" x14ac:dyDescent="0.3">
      <c r="FD222" s="397" t="s">
        <v>51</v>
      </c>
      <c r="FE222" s="399" t="str">
        <f t="shared" si="399"/>
        <v>Uniformes al personal</v>
      </c>
      <c r="FF222" s="400">
        <v>0</v>
      </c>
      <c r="FG222" s="400">
        <v>0</v>
      </c>
      <c r="FH222" s="400">
        <v>0</v>
      </c>
      <c r="FI222" s="400">
        <v>0</v>
      </c>
      <c r="FJ222" s="400">
        <v>11281.9</v>
      </c>
      <c r="FK222" s="400">
        <v>0</v>
      </c>
      <c r="FL222" s="400">
        <v>0</v>
      </c>
      <c r="FM222" s="400">
        <v>0</v>
      </c>
      <c r="FN222" s="400">
        <v>0</v>
      </c>
      <c r="FO222" s="400">
        <v>0</v>
      </c>
      <c r="FP222" s="400">
        <v>0</v>
      </c>
      <c r="FQ222" s="400">
        <v>0</v>
      </c>
      <c r="FR222" s="363">
        <f t="shared" si="401"/>
        <v>11281.9</v>
      </c>
      <c r="FS222" s="364" t="e">
        <f t="shared" si="395"/>
        <v>#DIV/0!</v>
      </c>
      <c r="FT222" s="362"/>
      <c r="FX222" s="351"/>
      <c r="FY222" s="351"/>
      <c r="FZ222" s="351"/>
      <c r="GA222" s="351"/>
      <c r="GB222" s="351"/>
      <c r="GC222" s="351"/>
      <c r="GD222" s="351"/>
      <c r="GE222" s="351"/>
      <c r="GF222" s="351"/>
      <c r="GG222" s="351"/>
      <c r="GH222" s="351"/>
      <c r="GJ222" s="262"/>
    </row>
    <row r="223" spans="160:192" ht="14.4" customHeight="1" x14ac:dyDescent="0.3">
      <c r="FD223" s="397" t="s">
        <v>53</v>
      </c>
      <c r="FE223" s="399" t="str">
        <f t="shared" si="399"/>
        <v>Gastos medicos</v>
      </c>
      <c r="FF223" s="400">
        <v>0</v>
      </c>
      <c r="FG223" s="400">
        <v>0</v>
      </c>
      <c r="FH223" s="400">
        <v>0</v>
      </c>
      <c r="FI223" s="400">
        <v>0</v>
      </c>
      <c r="FJ223" s="400">
        <v>0</v>
      </c>
      <c r="FK223" s="400">
        <v>0</v>
      </c>
      <c r="FL223" s="400">
        <v>0</v>
      </c>
      <c r="FM223" s="400">
        <v>0</v>
      </c>
      <c r="FN223" s="400">
        <v>0</v>
      </c>
      <c r="FO223" s="400">
        <v>0</v>
      </c>
      <c r="FP223" s="400">
        <v>0</v>
      </c>
      <c r="FQ223" s="400">
        <v>0</v>
      </c>
      <c r="FR223" s="363">
        <f t="shared" si="401"/>
        <v>0</v>
      </c>
      <c r="FS223" s="364" t="e">
        <f t="shared" si="395"/>
        <v>#DIV/0!</v>
      </c>
      <c r="FT223" s="362"/>
      <c r="FX223" s="351"/>
      <c r="FY223" s="351"/>
      <c r="FZ223" s="351"/>
      <c r="GA223" s="351"/>
      <c r="GB223" s="351"/>
      <c r="GC223" s="351"/>
      <c r="GD223" s="351"/>
      <c r="GE223" s="351"/>
      <c r="GF223" s="351"/>
      <c r="GG223" s="351"/>
      <c r="GH223" s="351"/>
      <c r="GJ223" s="262"/>
    </row>
    <row r="224" spans="160:192" ht="14.4" customHeight="1" x14ac:dyDescent="0.3">
      <c r="FD224" s="397" t="s">
        <v>55</v>
      </c>
      <c r="FE224" s="399" t="str">
        <f t="shared" si="399"/>
        <v>Seguro colectivo de vida</v>
      </c>
      <c r="FF224" s="400">
        <v>0</v>
      </c>
      <c r="FG224" s="400">
        <v>0</v>
      </c>
      <c r="FH224" s="400">
        <v>0</v>
      </c>
      <c r="FI224" s="400">
        <v>0</v>
      </c>
      <c r="FJ224" s="400">
        <v>0</v>
      </c>
      <c r="FK224" s="400">
        <v>0</v>
      </c>
      <c r="FL224" s="400">
        <v>0</v>
      </c>
      <c r="FM224" s="400">
        <v>0</v>
      </c>
      <c r="FN224" s="400">
        <v>0</v>
      </c>
      <c r="FO224" s="400">
        <v>0</v>
      </c>
      <c r="FP224" s="400">
        <v>0</v>
      </c>
      <c r="FQ224" s="400">
        <v>0</v>
      </c>
      <c r="FR224" s="363">
        <f t="shared" si="401"/>
        <v>0</v>
      </c>
      <c r="FS224" s="364" t="e">
        <f t="shared" si="395"/>
        <v>#DIV/0!</v>
      </c>
      <c r="FT224" s="362"/>
      <c r="FX224" s="351"/>
      <c r="FY224" s="351"/>
      <c r="FZ224" s="351"/>
      <c r="GA224" s="351"/>
      <c r="GB224" s="351"/>
      <c r="GC224" s="351"/>
      <c r="GD224" s="351"/>
      <c r="GE224" s="351"/>
      <c r="GF224" s="351"/>
      <c r="GG224" s="351"/>
      <c r="GH224" s="351"/>
      <c r="GJ224" s="262"/>
    </row>
    <row r="225" spans="160:192" ht="14.4" customHeight="1" x14ac:dyDescent="0.3">
      <c r="FD225" s="397" t="s">
        <v>57</v>
      </c>
      <c r="FE225" s="399" t="str">
        <f t="shared" si="399"/>
        <v>Ayuda postmorten</v>
      </c>
      <c r="FF225" s="400">
        <v>0</v>
      </c>
      <c r="FG225" s="400">
        <v>0</v>
      </c>
      <c r="FH225" s="400">
        <v>0</v>
      </c>
      <c r="FI225" s="400">
        <v>0</v>
      </c>
      <c r="FJ225" s="400">
        <v>0</v>
      </c>
      <c r="FK225" s="400">
        <v>0</v>
      </c>
      <c r="FL225" s="400">
        <v>0</v>
      </c>
      <c r="FM225" s="400">
        <v>0</v>
      </c>
      <c r="FN225" s="400">
        <v>0</v>
      </c>
      <c r="FO225" s="400">
        <v>0</v>
      </c>
      <c r="FP225" s="400">
        <v>0</v>
      </c>
      <c r="FQ225" s="400">
        <v>0</v>
      </c>
      <c r="FR225" s="363">
        <f t="shared" si="401"/>
        <v>0</v>
      </c>
      <c r="FS225" s="364" t="e">
        <f t="shared" si="395"/>
        <v>#DIV/0!</v>
      </c>
      <c r="FT225" s="362"/>
      <c r="FX225" s="351"/>
      <c r="FY225" s="351"/>
      <c r="FZ225" s="351"/>
      <c r="GA225" s="351"/>
      <c r="GB225" s="351"/>
      <c r="GC225" s="351"/>
      <c r="GD225" s="351"/>
      <c r="GE225" s="351"/>
      <c r="GF225" s="351"/>
      <c r="GG225" s="351"/>
      <c r="GH225" s="351"/>
      <c r="GJ225" s="262"/>
    </row>
    <row r="226" spans="160:192" ht="14.4" customHeight="1" x14ac:dyDescent="0.3">
      <c r="FD226" s="429" t="s">
        <v>59</v>
      </c>
      <c r="FE226" s="399" t="str">
        <f t="shared" si="399"/>
        <v>Cafeteria</v>
      </c>
      <c r="FF226" s="400">
        <v>0</v>
      </c>
      <c r="FG226" s="400">
        <v>0</v>
      </c>
      <c r="FH226" s="400">
        <v>0</v>
      </c>
      <c r="FI226" s="400">
        <v>0</v>
      </c>
      <c r="FJ226" s="400">
        <v>0</v>
      </c>
      <c r="FK226" s="400">
        <v>0</v>
      </c>
      <c r="FL226" s="400">
        <v>0</v>
      </c>
      <c r="FM226" s="400">
        <v>0</v>
      </c>
      <c r="FN226" s="400">
        <v>0</v>
      </c>
      <c r="FO226" s="400">
        <v>0</v>
      </c>
      <c r="FP226" s="400">
        <v>0</v>
      </c>
      <c r="FQ226" s="400">
        <v>0</v>
      </c>
      <c r="FR226" s="363">
        <f t="shared" si="401"/>
        <v>0</v>
      </c>
      <c r="FS226" s="260" t="e">
        <f t="shared" si="395"/>
        <v>#DIV/0!</v>
      </c>
      <c r="FT226" s="362"/>
      <c r="FX226" s="351"/>
      <c r="FY226" s="351"/>
      <c r="FZ226" s="351"/>
      <c r="GA226" s="351"/>
      <c r="GB226" s="351"/>
      <c r="GC226" s="351"/>
      <c r="GD226" s="351"/>
      <c r="GE226" s="351"/>
      <c r="GF226" s="351"/>
      <c r="GG226" s="351"/>
      <c r="GH226" s="351"/>
      <c r="GJ226" s="262"/>
    </row>
    <row r="227" spans="160:192" ht="14.4" customHeight="1" x14ac:dyDescent="0.3">
      <c r="FD227" s="397" t="s">
        <v>61</v>
      </c>
      <c r="FE227" s="399" t="str">
        <f t="shared" si="399"/>
        <v>Aporte celebraciones</v>
      </c>
      <c r="FF227" s="400">
        <v>0</v>
      </c>
      <c r="FG227" s="400">
        <v>0</v>
      </c>
      <c r="FH227" s="400">
        <v>0</v>
      </c>
      <c r="FI227" s="400">
        <v>0</v>
      </c>
      <c r="FJ227" s="400">
        <v>0</v>
      </c>
      <c r="FK227" s="400">
        <v>0</v>
      </c>
      <c r="FL227" s="400">
        <v>0</v>
      </c>
      <c r="FM227" s="400">
        <v>0</v>
      </c>
      <c r="FN227" s="400">
        <v>0</v>
      </c>
      <c r="FO227" s="400">
        <v>0</v>
      </c>
      <c r="FP227" s="400">
        <v>0</v>
      </c>
      <c r="FQ227" s="400">
        <v>0</v>
      </c>
      <c r="FR227" s="363">
        <f t="shared" si="401"/>
        <v>0</v>
      </c>
      <c r="FS227" s="364" t="e">
        <f t="shared" si="395"/>
        <v>#DIV/0!</v>
      </c>
      <c r="FT227" s="362"/>
      <c r="FX227" s="351"/>
      <c r="FY227" s="351"/>
      <c r="FZ227" s="351"/>
      <c r="GA227" s="351"/>
      <c r="GB227" s="351"/>
      <c r="GC227" s="351"/>
      <c r="GD227" s="351"/>
      <c r="GE227" s="351"/>
      <c r="GF227" s="351"/>
      <c r="GG227" s="351"/>
      <c r="GH227" s="351"/>
      <c r="GJ227" s="262"/>
    </row>
    <row r="228" spans="160:192" ht="14.4" customHeight="1" x14ac:dyDescent="0.3">
      <c r="FD228" s="397" t="s">
        <v>63</v>
      </c>
      <c r="FE228" s="357" t="s">
        <v>60</v>
      </c>
      <c r="FF228" s="325">
        <f>SUM(FF229:FF230)</f>
        <v>0</v>
      </c>
      <c r="FG228" s="325">
        <f t="shared" ref="FG228:FQ228" si="408">SUM(FG229:FG230)</f>
        <v>0</v>
      </c>
      <c r="FH228" s="325">
        <f t="shared" si="408"/>
        <v>0</v>
      </c>
      <c r="FI228" s="325">
        <f t="shared" si="408"/>
        <v>0</v>
      </c>
      <c r="FJ228" s="325">
        <f t="shared" si="408"/>
        <v>0</v>
      </c>
      <c r="FK228" s="325">
        <f t="shared" si="408"/>
        <v>0</v>
      </c>
      <c r="FL228" s="325">
        <f t="shared" si="408"/>
        <v>0</v>
      </c>
      <c r="FM228" s="325">
        <f t="shared" si="408"/>
        <v>0</v>
      </c>
      <c r="FN228" s="325">
        <f t="shared" si="408"/>
        <v>0</v>
      </c>
      <c r="FO228" s="325">
        <f t="shared" si="408"/>
        <v>0</v>
      </c>
      <c r="FP228" s="325">
        <f t="shared" si="408"/>
        <v>0</v>
      </c>
      <c r="FQ228" s="325">
        <f t="shared" si="408"/>
        <v>0</v>
      </c>
      <c r="FR228" s="309">
        <f>SUM(FF228:FQ228)</f>
        <v>0</v>
      </c>
      <c r="FS228" s="364" t="e">
        <f t="shared" si="395"/>
        <v>#DIV/0!</v>
      </c>
      <c r="FT228" s="362"/>
      <c r="FX228" s="351"/>
      <c r="FY228" s="351"/>
      <c r="FZ228" s="351"/>
      <c r="GA228" s="351"/>
      <c r="GB228" s="351"/>
      <c r="GC228" s="351"/>
      <c r="GD228" s="351"/>
      <c r="GE228" s="351"/>
      <c r="GF228" s="351"/>
      <c r="GG228" s="351"/>
      <c r="GH228" s="351"/>
      <c r="GJ228" s="262"/>
    </row>
    <row r="229" spans="160:192" ht="14.4" customHeight="1" x14ac:dyDescent="0.3">
      <c r="FD229" s="429" t="s">
        <v>65</v>
      </c>
      <c r="FE229" s="399" t="str">
        <f t="shared" ref="FE229:FE230" si="409">FE54</f>
        <v>Capacitacion interna</v>
      </c>
      <c r="FF229" s="400">
        <v>0</v>
      </c>
      <c r="FG229" s="400">
        <v>0</v>
      </c>
      <c r="FH229" s="400">
        <v>0</v>
      </c>
      <c r="FI229" s="400">
        <v>0</v>
      </c>
      <c r="FJ229" s="400">
        <v>0</v>
      </c>
      <c r="FK229" s="400">
        <v>0</v>
      </c>
      <c r="FL229" s="400">
        <v>0</v>
      </c>
      <c r="FM229" s="400">
        <v>0</v>
      </c>
      <c r="FN229" s="400">
        <v>0</v>
      </c>
      <c r="FO229" s="400">
        <v>0</v>
      </c>
      <c r="FP229" s="400">
        <v>0</v>
      </c>
      <c r="FQ229" s="400">
        <v>0</v>
      </c>
      <c r="FR229" s="363">
        <f t="shared" ref="FR229:FR230" si="410">SUM(FF229:FQ229)</f>
        <v>0</v>
      </c>
      <c r="FS229" s="260" t="e">
        <f t="shared" si="395"/>
        <v>#DIV/0!</v>
      </c>
      <c r="FT229" s="362"/>
      <c r="FX229" s="351"/>
      <c r="FY229" s="351"/>
      <c r="FZ229" s="351"/>
      <c r="GA229" s="351"/>
      <c r="GB229" s="351"/>
      <c r="GC229" s="351"/>
      <c r="GD229" s="351"/>
      <c r="GE229" s="351"/>
      <c r="GF229" s="351"/>
      <c r="GG229" s="351"/>
      <c r="GH229" s="351"/>
      <c r="GJ229" s="262"/>
    </row>
    <row r="230" spans="160:192" ht="14.4" customHeight="1" x14ac:dyDescent="0.3">
      <c r="FD230" s="397" t="s">
        <v>67</v>
      </c>
      <c r="FE230" s="399" t="str">
        <f t="shared" si="409"/>
        <v>Capacitacion externa</v>
      </c>
      <c r="FF230" s="400">
        <v>0</v>
      </c>
      <c r="FG230" s="400">
        <v>0</v>
      </c>
      <c r="FH230" s="400">
        <v>0</v>
      </c>
      <c r="FI230" s="400">
        <v>0</v>
      </c>
      <c r="FJ230" s="400">
        <v>0</v>
      </c>
      <c r="FK230" s="400">
        <v>0</v>
      </c>
      <c r="FL230" s="400">
        <v>0</v>
      </c>
      <c r="FM230" s="400">
        <v>0</v>
      </c>
      <c r="FN230" s="400">
        <v>0</v>
      </c>
      <c r="FO230" s="400">
        <v>0</v>
      </c>
      <c r="FP230" s="400">
        <v>0</v>
      </c>
      <c r="FQ230" s="400">
        <v>0</v>
      </c>
      <c r="FR230" s="363">
        <f t="shared" si="410"/>
        <v>0</v>
      </c>
      <c r="FS230" s="364" t="e">
        <f t="shared" si="395"/>
        <v>#DIV/0!</v>
      </c>
      <c r="FT230" s="362"/>
      <c r="FX230" s="351"/>
      <c r="FY230" s="351"/>
      <c r="FZ230" s="351"/>
      <c r="GA230" s="351"/>
      <c r="GB230" s="351"/>
      <c r="GC230" s="351"/>
      <c r="GD230" s="351"/>
      <c r="GE230" s="351"/>
      <c r="GF230" s="351"/>
      <c r="GG230" s="351"/>
      <c r="GH230" s="351"/>
      <c r="GJ230" s="262"/>
    </row>
    <row r="231" spans="160:192" ht="14.4" customHeight="1" x14ac:dyDescent="0.3">
      <c r="FD231" s="397" t="s">
        <v>69</v>
      </c>
      <c r="FE231" s="357" t="s">
        <v>66</v>
      </c>
      <c r="FF231" s="325">
        <f t="shared" ref="FF231:FQ231" si="411">SUM(FF232:FF237)</f>
        <v>0</v>
      </c>
      <c r="FG231" s="325">
        <f t="shared" si="411"/>
        <v>0</v>
      </c>
      <c r="FH231" s="325">
        <f t="shared" si="411"/>
        <v>0</v>
      </c>
      <c r="FI231" s="325">
        <f t="shared" si="411"/>
        <v>0</v>
      </c>
      <c r="FJ231" s="325">
        <f t="shared" si="411"/>
        <v>0</v>
      </c>
      <c r="FK231" s="325">
        <f t="shared" si="411"/>
        <v>0</v>
      </c>
      <c r="FL231" s="325">
        <f t="shared" si="411"/>
        <v>0</v>
      </c>
      <c r="FM231" s="325">
        <f t="shared" si="411"/>
        <v>0</v>
      </c>
      <c r="FN231" s="325">
        <f t="shared" si="411"/>
        <v>0</v>
      </c>
      <c r="FO231" s="325">
        <f t="shared" si="411"/>
        <v>0</v>
      </c>
      <c r="FP231" s="325">
        <f t="shared" si="411"/>
        <v>0</v>
      </c>
      <c r="FQ231" s="325">
        <f t="shared" si="411"/>
        <v>0</v>
      </c>
      <c r="FR231" s="309">
        <f>SUM(FF231:FQ231)</f>
        <v>0</v>
      </c>
      <c r="FS231" s="364" t="e">
        <f t="shared" si="395"/>
        <v>#DIV/0!</v>
      </c>
      <c r="FT231" s="362"/>
      <c r="FX231" s="351"/>
      <c r="FY231" s="351"/>
      <c r="FZ231" s="351"/>
      <c r="GA231" s="351"/>
      <c r="GB231" s="351"/>
      <c r="GC231" s="351"/>
      <c r="GD231" s="351"/>
      <c r="GE231" s="351"/>
      <c r="GF231" s="351"/>
      <c r="GG231" s="351"/>
      <c r="GH231" s="351"/>
      <c r="GJ231" s="262"/>
    </row>
    <row r="232" spans="160:192" ht="14.4" customHeight="1" x14ac:dyDescent="0.3">
      <c r="FD232" s="397" t="s">
        <v>71</v>
      </c>
      <c r="FE232" s="399" t="str">
        <f t="shared" ref="FE232:FE237" si="412">FE57</f>
        <v>Honorarios abogados y administracion</v>
      </c>
      <c r="FF232" s="400">
        <v>0</v>
      </c>
      <c r="FG232" s="400">
        <v>0</v>
      </c>
      <c r="FH232" s="400">
        <v>0</v>
      </c>
      <c r="FI232" s="400">
        <v>0</v>
      </c>
      <c r="FJ232" s="400">
        <v>0</v>
      </c>
      <c r="FK232" s="400">
        <v>0</v>
      </c>
      <c r="FL232" s="400">
        <v>0</v>
      </c>
      <c r="FM232" s="400">
        <v>0</v>
      </c>
      <c r="FN232" s="400">
        <v>0</v>
      </c>
      <c r="FO232" s="400">
        <v>0</v>
      </c>
      <c r="FP232" s="400">
        <v>0</v>
      </c>
      <c r="FQ232" s="400">
        <v>0</v>
      </c>
      <c r="FR232" s="363">
        <f t="shared" ref="FR232:FR237" si="413">SUM(FF232:FQ232)</f>
        <v>0</v>
      </c>
      <c r="FS232" s="364" t="e">
        <f t="shared" si="395"/>
        <v>#DIV/0!</v>
      </c>
      <c r="FT232" s="362"/>
      <c r="FX232" s="351"/>
      <c r="FY232" s="351"/>
      <c r="FZ232" s="351"/>
      <c r="GA232" s="351"/>
      <c r="GB232" s="351"/>
      <c r="GC232" s="351"/>
      <c r="GD232" s="351"/>
      <c r="GE232" s="351"/>
      <c r="GF232" s="351"/>
      <c r="GG232" s="351"/>
      <c r="GH232" s="351"/>
      <c r="GJ232" s="262"/>
    </row>
    <row r="233" spans="160:192" ht="14.4" customHeight="1" x14ac:dyDescent="0.3">
      <c r="FD233" s="397" t="s">
        <v>73</v>
      </c>
      <c r="FE233" s="399" t="str">
        <f t="shared" si="412"/>
        <v>Honorarios informática</v>
      </c>
      <c r="FF233" s="400">
        <v>0</v>
      </c>
      <c r="FG233" s="400">
        <v>0</v>
      </c>
      <c r="FH233" s="400">
        <v>0</v>
      </c>
      <c r="FI233" s="400">
        <v>0</v>
      </c>
      <c r="FJ233" s="400">
        <v>0</v>
      </c>
      <c r="FK233" s="400">
        <v>0</v>
      </c>
      <c r="FL233" s="400">
        <v>0</v>
      </c>
      <c r="FM233" s="400">
        <v>0</v>
      </c>
      <c r="FN233" s="400">
        <v>0</v>
      </c>
      <c r="FO233" s="400">
        <v>0</v>
      </c>
      <c r="FP233" s="400">
        <v>0</v>
      </c>
      <c r="FQ233" s="400">
        <v>0</v>
      </c>
      <c r="FR233" s="363">
        <f t="shared" si="413"/>
        <v>0</v>
      </c>
      <c r="FS233" s="364" t="e">
        <f t="shared" si="395"/>
        <v>#DIV/0!</v>
      </c>
      <c r="FT233" s="362"/>
      <c r="FX233" s="351"/>
      <c r="FY233" s="351"/>
      <c r="FZ233" s="351"/>
      <c r="GA233" s="351"/>
      <c r="GB233" s="351"/>
      <c r="GC233" s="351"/>
      <c r="GD233" s="351"/>
      <c r="GE233" s="351"/>
      <c r="GF233" s="351"/>
      <c r="GG233" s="351"/>
      <c r="GH233" s="351"/>
      <c r="GJ233" s="262"/>
    </row>
    <row r="234" spans="160:192" ht="14.4" customHeight="1" x14ac:dyDescent="0.3">
      <c r="FD234" s="397" t="s">
        <v>75</v>
      </c>
      <c r="FE234" s="399" t="str">
        <f t="shared" si="412"/>
        <v>Honorarios auditoria</v>
      </c>
      <c r="FF234" s="400">
        <v>0</v>
      </c>
      <c r="FG234" s="400">
        <v>0</v>
      </c>
      <c r="FH234" s="400">
        <v>0</v>
      </c>
      <c r="FI234" s="400">
        <v>0</v>
      </c>
      <c r="FJ234" s="400">
        <v>0</v>
      </c>
      <c r="FK234" s="400">
        <v>0</v>
      </c>
      <c r="FL234" s="400">
        <v>0</v>
      </c>
      <c r="FM234" s="400">
        <v>0</v>
      </c>
      <c r="FN234" s="400">
        <v>0</v>
      </c>
      <c r="FO234" s="400">
        <v>0</v>
      </c>
      <c r="FP234" s="400">
        <v>0</v>
      </c>
      <c r="FQ234" s="400">
        <v>0</v>
      </c>
      <c r="FR234" s="363">
        <f t="shared" si="413"/>
        <v>0</v>
      </c>
      <c r="FS234" s="364"/>
      <c r="FT234" s="362"/>
      <c r="FX234" s="351"/>
      <c r="FY234" s="351"/>
      <c r="FZ234" s="351"/>
      <c r="GA234" s="351"/>
      <c r="GB234" s="351"/>
      <c r="GC234" s="351"/>
      <c r="GD234" s="351"/>
      <c r="GE234" s="351"/>
      <c r="GF234" s="351"/>
      <c r="GG234" s="351"/>
      <c r="GH234" s="351"/>
      <c r="GJ234" s="262"/>
    </row>
    <row r="235" spans="160:192" ht="14.4" customHeight="1" x14ac:dyDescent="0.3">
      <c r="FD235" s="397" t="s">
        <v>77</v>
      </c>
      <c r="FE235" s="399" t="str">
        <f t="shared" si="412"/>
        <v>Honorarios tecnicos</v>
      </c>
      <c r="FF235" s="400">
        <v>0</v>
      </c>
      <c r="FG235" s="400">
        <v>0</v>
      </c>
      <c r="FH235" s="400">
        <v>0</v>
      </c>
      <c r="FI235" s="400">
        <v>0</v>
      </c>
      <c r="FJ235" s="400">
        <v>0</v>
      </c>
      <c r="FK235" s="400">
        <v>0</v>
      </c>
      <c r="FL235" s="400">
        <v>0</v>
      </c>
      <c r="FM235" s="400">
        <v>0</v>
      </c>
      <c r="FN235" s="400">
        <v>0</v>
      </c>
      <c r="FO235" s="400">
        <v>0</v>
      </c>
      <c r="FP235" s="400">
        <v>0</v>
      </c>
      <c r="FQ235" s="400">
        <v>0</v>
      </c>
      <c r="FR235" s="363">
        <f t="shared" si="413"/>
        <v>0</v>
      </c>
      <c r="FS235" s="364" t="e">
        <f t="shared" ref="FS235:FS298" si="414">FR237/$FR$201</f>
        <v>#DIV/0!</v>
      </c>
      <c r="FT235" s="362"/>
      <c r="FX235" s="351"/>
      <c r="FY235" s="351"/>
      <c r="FZ235" s="351"/>
      <c r="GA235" s="351"/>
      <c r="GB235" s="351"/>
      <c r="GC235" s="351"/>
      <c r="GD235" s="351"/>
      <c r="GE235" s="351"/>
      <c r="GF235" s="351"/>
      <c r="GG235" s="351"/>
      <c r="GH235" s="351"/>
      <c r="GJ235" s="262"/>
    </row>
    <row r="236" spans="160:192" ht="14.4" customHeight="1" x14ac:dyDescent="0.3">
      <c r="FD236" s="429" t="s">
        <v>79</v>
      </c>
      <c r="FE236" s="399" t="str">
        <f t="shared" si="412"/>
        <v>Honorarios contables</v>
      </c>
      <c r="FF236" s="400">
        <v>0</v>
      </c>
      <c r="FG236" s="400">
        <v>0</v>
      </c>
      <c r="FH236" s="400">
        <v>0</v>
      </c>
      <c r="FI236" s="400">
        <v>0</v>
      </c>
      <c r="FJ236" s="400">
        <v>0</v>
      </c>
      <c r="FK236" s="400">
        <v>0</v>
      </c>
      <c r="FL236" s="400">
        <v>0</v>
      </c>
      <c r="FM236" s="400">
        <v>0</v>
      </c>
      <c r="FN236" s="400">
        <v>0</v>
      </c>
      <c r="FO236" s="400">
        <v>0</v>
      </c>
      <c r="FP236" s="400">
        <v>0</v>
      </c>
      <c r="FQ236" s="400">
        <v>0</v>
      </c>
      <c r="FR236" s="363"/>
      <c r="FS236" s="260" t="e">
        <f t="shared" si="414"/>
        <v>#DIV/0!</v>
      </c>
      <c r="FT236" s="362"/>
      <c r="FX236" s="351"/>
      <c r="FY236" s="351"/>
      <c r="FZ236" s="351"/>
      <c r="GA236" s="351"/>
      <c r="GB236" s="351"/>
      <c r="GC236" s="351"/>
      <c r="GD236" s="351"/>
      <c r="GE236" s="351"/>
      <c r="GF236" s="351"/>
      <c r="GG236" s="351"/>
      <c r="GH236" s="351"/>
      <c r="GJ236" s="262"/>
    </row>
    <row r="237" spans="160:192" ht="14.4" customHeight="1" x14ac:dyDescent="0.3">
      <c r="FD237" s="397" t="s">
        <v>81</v>
      </c>
      <c r="FE237" s="399" t="str">
        <f t="shared" si="412"/>
        <v>Otros honorarios</v>
      </c>
      <c r="FF237" s="400">
        <v>0</v>
      </c>
      <c r="FG237" s="400">
        <v>0</v>
      </c>
      <c r="FH237" s="400">
        <v>0</v>
      </c>
      <c r="FI237" s="400">
        <v>0</v>
      </c>
      <c r="FJ237" s="400">
        <v>0</v>
      </c>
      <c r="FK237" s="400">
        <v>0</v>
      </c>
      <c r="FL237" s="400">
        <v>0</v>
      </c>
      <c r="FM237" s="400">
        <v>0</v>
      </c>
      <c r="FN237" s="400">
        <v>0</v>
      </c>
      <c r="FO237" s="400">
        <v>0</v>
      </c>
      <c r="FP237" s="400">
        <v>0</v>
      </c>
      <c r="FQ237" s="400">
        <v>0</v>
      </c>
      <c r="FR237" s="363">
        <f t="shared" si="413"/>
        <v>0</v>
      </c>
      <c r="FS237" s="364" t="e">
        <f t="shared" si="414"/>
        <v>#DIV/0!</v>
      </c>
      <c r="FT237" s="362"/>
      <c r="FX237" s="351"/>
      <c r="FY237" s="351"/>
      <c r="FZ237" s="351"/>
      <c r="GA237" s="351"/>
      <c r="GB237" s="351"/>
      <c r="GC237" s="351"/>
      <c r="GD237" s="351"/>
      <c r="GE237" s="351"/>
      <c r="GF237" s="351"/>
      <c r="GG237" s="351"/>
      <c r="GH237" s="351"/>
      <c r="GJ237" s="262"/>
    </row>
    <row r="238" spans="160:192" ht="14.4" customHeight="1" x14ac:dyDescent="0.3">
      <c r="FD238" s="397" t="s">
        <v>83</v>
      </c>
      <c r="FE238" s="357" t="s">
        <v>80</v>
      </c>
      <c r="FF238" s="325">
        <f>SUM(FF239:FF254)</f>
        <v>0</v>
      </c>
      <c r="FG238" s="325">
        <f t="shared" ref="FG238:FQ238" si="415">SUM(FG239:FG254)</f>
        <v>0</v>
      </c>
      <c r="FH238" s="325">
        <f t="shared" si="415"/>
        <v>0</v>
      </c>
      <c r="FI238" s="325">
        <f t="shared" si="415"/>
        <v>0</v>
      </c>
      <c r="FJ238" s="325">
        <f t="shared" si="415"/>
        <v>0</v>
      </c>
      <c r="FK238" s="325">
        <f t="shared" si="415"/>
        <v>0</v>
      </c>
      <c r="FL238" s="325">
        <f t="shared" si="415"/>
        <v>0</v>
      </c>
      <c r="FM238" s="325">
        <f t="shared" si="415"/>
        <v>0</v>
      </c>
      <c r="FN238" s="325">
        <f t="shared" si="415"/>
        <v>0</v>
      </c>
      <c r="FO238" s="325">
        <f t="shared" si="415"/>
        <v>0</v>
      </c>
      <c r="FP238" s="325">
        <f t="shared" si="415"/>
        <v>0</v>
      </c>
      <c r="FQ238" s="325">
        <f t="shared" si="415"/>
        <v>0</v>
      </c>
      <c r="FR238" s="309">
        <f>SUM(FF238:FQ238)</f>
        <v>0</v>
      </c>
      <c r="FS238" s="364" t="e">
        <f t="shared" si="414"/>
        <v>#DIV/0!</v>
      </c>
      <c r="FT238" s="362"/>
      <c r="FX238" s="351"/>
      <c r="FY238" s="351"/>
      <c r="FZ238" s="351"/>
      <c r="GA238" s="351"/>
      <c r="GB238" s="351"/>
      <c r="GC238" s="351"/>
      <c r="GD238" s="351"/>
      <c r="GE238" s="351"/>
      <c r="GF238" s="351"/>
      <c r="GG238" s="351"/>
      <c r="GH238" s="351"/>
      <c r="GJ238" s="262"/>
    </row>
    <row r="239" spans="160:192" ht="14.4" customHeight="1" x14ac:dyDescent="0.3">
      <c r="FD239" s="397" t="s">
        <v>85</v>
      </c>
      <c r="FE239" s="399" t="str">
        <f t="shared" ref="FE239:FE254" si="416">FE64</f>
        <v>Mantto. Edificios arrendados</v>
      </c>
      <c r="FF239" s="400">
        <v>0</v>
      </c>
      <c r="FG239" s="400">
        <v>0</v>
      </c>
      <c r="FH239" s="400">
        <v>0</v>
      </c>
      <c r="FI239" s="400">
        <v>0</v>
      </c>
      <c r="FJ239" s="400">
        <v>0</v>
      </c>
      <c r="FK239" s="400">
        <v>0</v>
      </c>
      <c r="FL239" s="400">
        <v>0</v>
      </c>
      <c r="FM239" s="400">
        <v>0</v>
      </c>
      <c r="FN239" s="400">
        <v>0</v>
      </c>
      <c r="FO239" s="400">
        <v>0</v>
      </c>
      <c r="FP239" s="400">
        <v>0</v>
      </c>
      <c r="FQ239" s="400">
        <v>0</v>
      </c>
      <c r="FR239" s="363">
        <f t="shared" ref="FR239:FR254" si="417">SUM(FF239:FQ239)</f>
        <v>0</v>
      </c>
      <c r="FS239" s="364" t="e">
        <f t="shared" si="414"/>
        <v>#DIV/0!</v>
      </c>
      <c r="FT239" s="362"/>
      <c r="FX239" s="351"/>
      <c r="FY239" s="351"/>
      <c r="FZ239" s="351"/>
      <c r="GA239" s="351"/>
      <c r="GB239" s="351"/>
      <c r="GC239" s="351"/>
      <c r="GD239" s="351"/>
      <c r="GE239" s="351"/>
      <c r="GF239" s="351"/>
      <c r="GG239" s="351"/>
      <c r="GH239" s="351"/>
      <c r="GJ239" s="262"/>
    </row>
    <row r="240" spans="160:192" ht="14.4" customHeight="1" x14ac:dyDescent="0.3">
      <c r="FD240" s="397" t="s">
        <v>87</v>
      </c>
      <c r="FE240" s="399" t="str">
        <f t="shared" si="416"/>
        <v>Mantto. Mobiliario y equipo de oficina</v>
      </c>
      <c r="FF240" s="400">
        <v>0</v>
      </c>
      <c r="FG240" s="400">
        <v>0</v>
      </c>
      <c r="FH240" s="400">
        <v>0</v>
      </c>
      <c r="FI240" s="400">
        <v>0</v>
      </c>
      <c r="FJ240" s="400">
        <v>0</v>
      </c>
      <c r="FK240" s="400">
        <v>0</v>
      </c>
      <c r="FL240" s="400">
        <v>0</v>
      </c>
      <c r="FM240" s="400">
        <v>0</v>
      </c>
      <c r="FN240" s="400">
        <v>0</v>
      </c>
      <c r="FO240" s="400">
        <v>0</v>
      </c>
      <c r="FP240" s="400">
        <v>0</v>
      </c>
      <c r="FQ240" s="400">
        <v>0</v>
      </c>
      <c r="FR240" s="363">
        <f t="shared" si="417"/>
        <v>0</v>
      </c>
      <c r="FS240" s="364" t="e">
        <f t="shared" si="414"/>
        <v>#DIV/0!</v>
      </c>
      <c r="FT240" s="362"/>
      <c r="FX240" s="351"/>
      <c r="FY240" s="351"/>
      <c r="FZ240" s="351"/>
      <c r="GA240" s="351"/>
      <c r="GB240" s="351"/>
      <c r="GC240" s="351"/>
      <c r="GD240" s="351"/>
      <c r="GE240" s="351"/>
      <c r="GF240" s="351"/>
      <c r="GG240" s="351"/>
      <c r="GH240" s="351"/>
      <c r="GJ240" s="262"/>
    </row>
    <row r="241" spans="160:192" ht="14.4" customHeight="1" x14ac:dyDescent="0.3">
      <c r="FD241" s="397" t="s">
        <v>89</v>
      </c>
      <c r="FE241" s="399" t="str">
        <f t="shared" si="416"/>
        <v>Mantto. Equipo de cómputo</v>
      </c>
      <c r="FF241" s="400">
        <v>0</v>
      </c>
      <c r="FG241" s="400">
        <v>0</v>
      </c>
      <c r="FH241" s="400">
        <v>0</v>
      </c>
      <c r="FI241" s="400">
        <v>0</v>
      </c>
      <c r="FJ241" s="400">
        <v>0</v>
      </c>
      <c r="FK241" s="400">
        <v>0</v>
      </c>
      <c r="FL241" s="400">
        <v>0</v>
      </c>
      <c r="FM241" s="400">
        <v>0</v>
      </c>
      <c r="FN241" s="400">
        <v>0</v>
      </c>
      <c r="FO241" s="400">
        <v>0</v>
      </c>
      <c r="FP241" s="400">
        <v>0</v>
      </c>
      <c r="FQ241" s="400">
        <v>0</v>
      </c>
      <c r="FR241" s="363">
        <f t="shared" si="417"/>
        <v>0</v>
      </c>
      <c r="FS241" s="364" t="e">
        <f t="shared" si="414"/>
        <v>#DIV/0!</v>
      </c>
      <c r="FT241" s="362"/>
      <c r="FX241" s="351"/>
      <c r="FY241" s="351"/>
      <c r="FZ241" s="351"/>
      <c r="GA241" s="351"/>
      <c r="GB241" s="351"/>
      <c r="GC241" s="351"/>
      <c r="GD241" s="351"/>
      <c r="GE241" s="351"/>
      <c r="GF241" s="351"/>
      <c r="GG241" s="351"/>
      <c r="GH241" s="351"/>
      <c r="GJ241" s="262"/>
    </row>
    <row r="242" spans="160:192" ht="14.4" customHeight="1" x14ac:dyDescent="0.3">
      <c r="FD242" s="397" t="s">
        <v>91</v>
      </c>
      <c r="FE242" s="399" t="str">
        <f t="shared" si="416"/>
        <v>Mantto. Herramientas</v>
      </c>
      <c r="FF242" s="400">
        <v>0</v>
      </c>
      <c r="FG242" s="400">
        <v>0</v>
      </c>
      <c r="FH242" s="400">
        <v>0</v>
      </c>
      <c r="FI242" s="400">
        <v>0</v>
      </c>
      <c r="FJ242" s="400">
        <v>0</v>
      </c>
      <c r="FK242" s="400">
        <v>0</v>
      </c>
      <c r="FL242" s="400">
        <v>0</v>
      </c>
      <c r="FM242" s="400">
        <v>0</v>
      </c>
      <c r="FN242" s="400">
        <v>0</v>
      </c>
      <c r="FO242" s="400">
        <v>0</v>
      </c>
      <c r="FP242" s="400">
        <v>0</v>
      </c>
      <c r="FQ242" s="400">
        <v>0</v>
      </c>
      <c r="FR242" s="363">
        <f t="shared" si="417"/>
        <v>0</v>
      </c>
      <c r="FS242" s="364" t="e">
        <f t="shared" si="414"/>
        <v>#DIV/0!</v>
      </c>
      <c r="FT242" s="362"/>
      <c r="FX242" s="351"/>
      <c r="FY242" s="351"/>
      <c r="FZ242" s="351"/>
      <c r="GA242" s="351"/>
      <c r="GB242" s="351"/>
      <c r="GC242" s="351"/>
      <c r="GD242" s="351"/>
      <c r="GE242" s="351"/>
      <c r="GF242" s="351"/>
      <c r="GG242" s="351"/>
      <c r="GH242" s="351"/>
      <c r="GJ242" s="262"/>
    </row>
    <row r="243" spans="160:192" ht="14.4" customHeight="1" x14ac:dyDescent="0.3">
      <c r="FD243" s="397" t="s">
        <v>93</v>
      </c>
      <c r="FE243" s="399" t="str">
        <f t="shared" si="416"/>
        <v>Mantto. Equipo rodante</v>
      </c>
      <c r="FF243" s="400">
        <v>0</v>
      </c>
      <c r="FG243" s="400">
        <v>0</v>
      </c>
      <c r="FH243" s="400">
        <v>0</v>
      </c>
      <c r="FI243" s="400">
        <v>0</v>
      </c>
      <c r="FJ243" s="400">
        <v>0</v>
      </c>
      <c r="FK243" s="400">
        <v>0</v>
      </c>
      <c r="FL243" s="400">
        <v>0</v>
      </c>
      <c r="FM243" s="400">
        <v>0</v>
      </c>
      <c r="FN243" s="400">
        <v>0</v>
      </c>
      <c r="FO243" s="400">
        <v>0</v>
      </c>
      <c r="FP243" s="400">
        <v>0</v>
      </c>
      <c r="FQ243" s="400">
        <v>0</v>
      </c>
      <c r="FR243" s="363">
        <f t="shared" si="417"/>
        <v>0</v>
      </c>
      <c r="FS243" s="364" t="e">
        <f t="shared" si="414"/>
        <v>#DIV/0!</v>
      </c>
      <c r="FT243" s="362"/>
      <c r="FX243" s="351"/>
      <c r="FY243" s="351"/>
      <c r="FZ243" s="351"/>
      <c r="GA243" s="351"/>
      <c r="GB243" s="351"/>
      <c r="GC243" s="351"/>
      <c r="GD243" s="351"/>
      <c r="GE243" s="351"/>
      <c r="GF243" s="351"/>
      <c r="GG243" s="351"/>
      <c r="GH243" s="351"/>
      <c r="GJ243" s="262"/>
    </row>
    <row r="244" spans="160:192" ht="14.4" customHeight="1" x14ac:dyDescent="0.3">
      <c r="FD244" s="397" t="s">
        <v>95</v>
      </c>
      <c r="FE244" s="399" t="str">
        <f t="shared" si="416"/>
        <v>Mantto. Equipo comunicacion</v>
      </c>
      <c r="FF244" s="400">
        <v>0</v>
      </c>
      <c r="FG244" s="400">
        <v>0</v>
      </c>
      <c r="FH244" s="400">
        <v>0</v>
      </c>
      <c r="FI244" s="400">
        <v>0</v>
      </c>
      <c r="FJ244" s="400">
        <v>0</v>
      </c>
      <c r="FK244" s="400">
        <v>0</v>
      </c>
      <c r="FL244" s="400">
        <v>0</v>
      </c>
      <c r="FM244" s="400">
        <v>0</v>
      </c>
      <c r="FN244" s="400">
        <v>0</v>
      </c>
      <c r="FO244" s="400">
        <v>0</v>
      </c>
      <c r="FP244" s="400">
        <v>0</v>
      </c>
      <c r="FQ244" s="400">
        <v>0</v>
      </c>
      <c r="FR244" s="363">
        <f t="shared" si="417"/>
        <v>0</v>
      </c>
      <c r="FS244" s="364" t="e">
        <f t="shared" si="414"/>
        <v>#DIV/0!</v>
      </c>
      <c r="FT244" s="362"/>
      <c r="FX244" s="351"/>
      <c r="FY244" s="351"/>
      <c r="FZ244" s="351"/>
      <c r="GA244" s="351"/>
      <c r="GB244" s="351"/>
      <c r="GC244" s="351"/>
      <c r="GD244" s="351"/>
      <c r="GE244" s="351"/>
      <c r="GF244" s="351"/>
      <c r="GG244" s="351"/>
      <c r="GH244" s="351"/>
      <c r="GJ244" s="262"/>
    </row>
    <row r="245" spans="160:192" ht="14.4" customHeight="1" x14ac:dyDescent="0.3">
      <c r="FD245" s="397" t="s">
        <v>96</v>
      </c>
      <c r="FE245" s="399" t="str">
        <f t="shared" si="416"/>
        <v>Mantto. Equipos de produccion.</v>
      </c>
      <c r="FF245" s="400">
        <v>0</v>
      </c>
      <c r="FG245" s="400">
        <v>0</v>
      </c>
      <c r="FH245" s="400">
        <v>0</v>
      </c>
      <c r="FI245" s="400">
        <v>0</v>
      </c>
      <c r="FJ245" s="400">
        <v>0</v>
      </c>
      <c r="FK245" s="400">
        <v>0</v>
      </c>
      <c r="FL245" s="400">
        <v>0</v>
      </c>
      <c r="FM245" s="400">
        <v>0</v>
      </c>
      <c r="FN245" s="400">
        <v>0</v>
      </c>
      <c r="FO245" s="400">
        <v>0</v>
      </c>
      <c r="FP245" s="400">
        <v>0</v>
      </c>
      <c r="FQ245" s="400">
        <v>0</v>
      </c>
      <c r="FR245" s="363">
        <f t="shared" si="417"/>
        <v>0</v>
      </c>
      <c r="FS245" s="364" t="e">
        <f t="shared" si="414"/>
        <v>#DIV/0!</v>
      </c>
      <c r="FT245" s="362"/>
      <c r="FX245" s="351"/>
      <c r="FY245" s="351"/>
      <c r="FZ245" s="351"/>
      <c r="GA245" s="351"/>
      <c r="GB245" s="351"/>
      <c r="GC245" s="351"/>
      <c r="GD245" s="351"/>
      <c r="GE245" s="351"/>
      <c r="GF245" s="351"/>
      <c r="GG245" s="351"/>
      <c r="GH245" s="351"/>
      <c r="GJ245" s="262"/>
    </row>
    <row r="246" spans="160:192" ht="14.4" customHeight="1" x14ac:dyDescent="0.3">
      <c r="FD246" s="397" t="s">
        <v>98</v>
      </c>
      <c r="FE246" s="399" t="str">
        <f t="shared" si="416"/>
        <v>Mantto. Maquinas de producción</v>
      </c>
      <c r="FF246" s="400">
        <v>0</v>
      </c>
      <c r="FG246" s="400">
        <v>0</v>
      </c>
      <c r="FH246" s="400">
        <v>0</v>
      </c>
      <c r="FI246" s="400">
        <v>0</v>
      </c>
      <c r="FJ246" s="400">
        <v>0</v>
      </c>
      <c r="FK246" s="400">
        <v>0</v>
      </c>
      <c r="FL246" s="400">
        <v>0</v>
      </c>
      <c r="FM246" s="400">
        <v>0</v>
      </c>
      <c r="FN246" s="400">
        <v>0</v>
      </c>
      <c r="FO246" s="400">
        <v>0</v>
      </c>
      <c r="FP246" s="400">
        <v>0</v>
      </c>
      <c r="FQ246" s="400">
        <v>0</v>
      </c>
      <c r="FR246" s="363">
        <f t="shared" si="417"/>
        <v>0</v>
      </c>
      <c r="FS246" s="364" t="e">
        <f t="shared" si="414"/>
        <v>#DIV/0!</v>
      </c>
      <c r="FT246" s="362"/>
      <c r="FX246" s="351"/>
      <c r="FY246" s="351"/>
      <c r="FZ246" s="351"/>
      <c r="GA246" s="351"/>
      <c r="GB246" s="351"/>
      <c r="GC246" s="351"/>
      <c r="GD246" s="351"/>
      <c r="GE246" s="351"/>
      <c r="GF246" s="351"/>
      <c r="GG246" s="351"/>
      <c r="GH246" s="351"/>
      <c r="GJ246" s="262"/>
    </row>
    <row r="247" spans="160:192" ht="14.4" customHeight="1" x14ac:dyDescent="0.3">
      <c r="FD247" s="397" t="s">
        <v>100</v>
      </c>
      <c r="FE247" s="399" t="str">
        <f t="shared" si="416"/>
        <v>Mantto. Areas verdes y edificio</v>
      </c>
      <c r="FF247" s="400">
        <v>0</v>
      </c>
      <c r="FG247" s="400">
        <v>0</v>
      </c>
      <c r="FH247" s="400">
        <v>0</v>
      </c>
      <c r="FI247" s="400">
        <v>0</v>
      </c>
      <c r="FJ247" s="400">
        <v>0</v>
      </c>
      <c r="FK247" s="400">
        <v>0</v>
      </c>
      <c r="FL247" s="400">
        <v>0</v>
      </c>
      <c r="FM247" s="400">
        <v>0</v>
      </c>
      <c r="FN247" s="400">
        <v>0</v>
      </c>
      <c r="FO247" s="400">
        <v>0</v>
      </c>
      <c r="FP247" s="400">
        <v>0</v>
      </c>
      <c r="FQ247" s="400">
        <v>0</v>
      </c>
      <c r="FR247" s="363">
        <f t="shared" si="417"/>
        <v>0</v>
      </c>
      <c r="FS247" s="364" t="e">
        <f t="shared" si="414"/>
        <v>#DIV/0!</v>
      </c>
      <c r="FT247" s="362"/>
      <c r="FX247" s="351"/>
      <c r="FY247" s="351"/>
      <c r="FZ247" s="351"/>
      <c r="GA247" s="351"/>
      <c r="GB247" s="351"/>
      <c r="GC247" s="351"/>
      <c r="GD247" s="351"/>
      <c r="GE247" s="351"/>
      <c r="GF247" s="351"/>
      <c r="GG247" s="351"/>
      <c r="GH247" s="351"/>
      <c r="GJ247" s="262"/>
    </row>
    <row r="248" spans="160:192" ht="14.4" customHeight="1" x14ac:dyDescent="0.3">
      <c r="FD248" s="397" t="s">
        <v>102</v>
      </c>
      <c r="FE248" s="399" t="str">
        <f t="shared" si="416"/>
        <v>Mantto. Motor estacionario</v>
      </c>
      <c r="FF248" s="400">
        <v>0</v>
      </c>
      <c r="FG248" s="400">
        <v>0</v>
      </c>
      <c r="FH248" s="400">
        <v>0</v>
      </c>
      <c r="FI248" s="400">
        <v>0</v>
      </c>
      <c r="FJ248" s="400">
        <v>0</v>
      </c>
      <c r="FK248" s="400">
        <v>0</v>
      </c>
      <c r="FL248" s="400">
        <v>0</v>
      </c>
      <c r="FM248" s="400">
        <v>0</v>
      </c>
      <c r="FN248" s="400">
        <v>0</v>
      </c>
      <c r="FO248" s="400">
        <v>0</v>
      </c>
      <c r="FP248" s="400">
        <v>0</v>
      </c>
      <c r="FQ248" s="400">
        <v>0</v>
      </c>
      <c r="FR248" s="363">
        <f t="shared" si="417"/>
        <v>0</v>
      </c>
      <c r="FS248" s="364" t="e">
        <f t="shared" si="414"/>
        <v>#DIV/0!</v>
      </c>
      <c r="FT248" s="362"/>
      <c r="FX248" s="351"/>
      <c r="FY248" s="351"/>
      <c r="FZ248" s="351"/>
      <c r="GA248" s="351"/>
      <c r="GB248" s="351"/>
      <c r="GC248" s="351"/>
      <c r="GD248" s="351"/>
      <c r="GE248" s="351"/>
      <c r="GF248" s="351"/>
      <c r="GG248" s="351"/>
      <c r="GH248" s="351"/>
      <c r="GJ248" s="262"/>
    </row>
    <row r="249" spans="160:192" ht="14.4" customHeight="1" x14ac:dyDescent="0.3">
      <c r="FD249" s="397" t="s">
        <v>104</v>
      </c>
      <c r="FE249" s="399" t="str">
        <f t="shared" si="416"/>
        <v>Mantto. Maquinaria agricola</v>
      </c>
      <c r="FF249" s="400">
        <v>0</v>
      </c>
      <c r="FG249" s="400">
        <v>0</v>
      </c>
      <c r="FH249" s="400">
        <v>0</v>
      </c>
      <c r="FI249" s="400">
        <v>0</v>
      </c>
      <c r="FJ249" s="400">
        <v>0</v>
      </c>
      <c r="FK249" s="400">
        <v>0</v>
      </c>
      <c r="FL249" s="400">
        <v>0</v>
      </c>
      <c r="FM249" s="400">
        <v>0</v>
      </c>
      <c r="FN249" s="400">
        <v>0</v>
      </c>
      <c r="FO249" s="400">
        <v>0</v>
      </c>
      <c r="FP249" s="400">
        <v>0</v>
      </c>
      <c r="FQ249" s="400">
        <v>0</v>
      </c>
      <c r="FR249" s="363">
        <f t="shared" si="417"/>
        <v>0</v>
      </c>
      <c r="FS249" s="364" t="e">
        <f t="shared" si="414"/>
        <v>#DIV/0!</v>
      </c>
      <c r="FT249" s="362"/>
      <c r="FX249" s="351"/>
      <c r="FY249" s="351"/>
      <c r="FZ249" s="351"/>
      <c r="GA249" s="351"/>
      <c r="GB249" s="351"/>
      <c r="GC249" s="351"/>
      <c r="GD249" s="351"/>
      <c r="GE249" s="351"/>
      <c r="GF249" s="351"/>
      <c r="GG249" s="351"/>
      <c r="GH249" s="351"/>
      <c r="GJ249" s="262"/>
    </row>
    <row r="250" spans="160:192" ht="14.4" customHeight="1" x14ac:dyDescent="0.3">
      <c r="FD250" s="397" t="s">
        <v>106</v>
      </c>
      <c r="FE250" s="399" t="str">
        <f t="shared" si="416"/>
        <v>Mantto. Eqpo. Refrigeracion</v>
      </c>
      <c r="FF250" s="400">
        <v>0</v>
      </c>
      <c r="FG250" s="400">
        <v>0</v>
      </c>
      <c r="FH250" s="400">
        <v>0</v>
      </c>
      <c r="FI250" s="400">
        <v>0</v>
      </c>
      <c r="FJ250" s="400">
        <v>0</v>
      </c>
      <c r="FK250" s="400">
        <v>0</v>
      </c>
      <c r="FL250" s="400">
        <v>0</v>
      </c>
      <c r="FM250" s="400">
        <v>0</v>
      </c>
      <c r="FN250" s="400">
        <v>0</v>
      </c>
      <c r="FO250" s="400">
        <v>0</v>
      </c>
      <c r="FP250" s="400">
        <v>0</v>
      </c>
      <c r="FQ250" s="400">
        <v>0</v>
      </c>
      <c r="FR250" s="363">
        <f t="shared" si="417"/>
        <v>0</v>
      </c>
      <c r="FS250" s="364" t="e">
        <f t="shared" si="414"/>
        <v>#DIV/0!</v>
      </c>
      <c r="FT250" s="362"/>
      <c r="FX250" s="351"/>
      <c r="FY250" s="351"/>
      <c r="FZ250" s="351"/>
      <c r="GA250" s="351"/>
      <c r="GB250" s="351"/>
      <c r="GC250" s="351"/>
      <c r="GD250" s="351"/>
      <c r="GE250" s="351"/>
      <c r="GF250" s="351"/>
      <c r="GG250" s="351"/>
      <c r="GH250" s="351"/>
      <c r="GJ250" s="262"/>
    </row>
    <row r="251" spans="160:192" ht="14.4" customHeight="1" x14ac:dyDescent="0.3">
      <c r="FD251" s="397" t="s">
        <v>108</v>
      </c>
      <c r="FE251" s="399" t="str">
        <f t="shared" si="416"/>
        <v>Mantenimiento Eqpo. cocina</v>
      </c>
      <c r="FF251" s="400">
        <v>0</v>
      </c>
      <c r="FG251" s="400">
        <v>0</v>
      </c>
      <c r="FH251" s="400">
        <v>0</v>
      </c>
      <c r="FI251" s="400">
        <v>0</v>
      </c>
      <c r="FJ251" s="400">
        <v>0</v>
      </c>
      <c r="FK251" s="400">
        <v>0</v>
      </c>
      <c r="FL251" s="400">
        <v>0</v>
      </c>
      <c r="FM251" s="400">
        <v>0</v>
      </c>
      <c r="FN251" s="400">
        <v>0</v>
      </c>
      <c r="FO251" s="400">
        <v>0</v>
      </c>
      <c r="FP251" s="400">
        <v>0</v>
      </c>
      <c r="FQ251" s="400">
        <v>0</v>
      </c>
      <c r="FR251" s="363">
        <f>SUM(FG251:FQ251)</f>
        <v>0</v>
      </c>
      <c r="FS251" s="364" t="e">
        <f t="shared" si="414"/>
        <v>#DIV/0!</v>
      </c>
      <c r="FT251" s="362"/>
      <c r="FX251" s="351"/>
      <c r="FY251" s="351"/>
      <c r="FZ251" s="351"/>
      <c r="GA251" s="351"/>
      <c r="GB251" s="351"/>
      <c r="GC251" s="351"/>
      <c r="GD251" s="351"/>
      <c r="GE251" s="351"/>
      <c r="GF251" s="351"/>
      <c r="GG251" s="351"/>
      <c r="GH251" s="351"/>
      <c r="GJ251" s="262"/>
    </row>
    <row r="252" spans="160:192" ht="14.4" customHeight="1" x14ac:dyDescent="0.3">
      <c r="FD252" s="397" t="s">
        <v>109</v>
      </c>
      <c r="FE252" s="399" t="str">
        <f t="shared" si="416"/>
        <v>Mantto. Equipo diverso</v>
      </c>
      <c r="FF252" s="400">
        <v>0</v>
      </c>
      <c r="FG252" s="400">
        <v>0</v>
      </c>
      <c r="FH252" s="400">
        <v>0</v>
      </c>
      <c r="FI252" s="400">
        <v>0</v>
      </c>
      <c r="FJ252" s="400">
        <v>0</v>
      </c>
      <c r="FK252" s="400">
        <v>0</v>
      </c>
      <c r="FL252" s="400">
        <v>0</v>
      </c>
      <c r="FM252" s="400">
        <v>0</v>
      </c>
      <c r="FN252" s="400">
        <v>0</v>
      </c>
      <c r="FO252" s="400">
        <v>0</v>
      </c>
      <c r="FP252" s="400">
        <v>0</v>
      </c>
      <c r="FQ252" s="400">
        <v>0</v>
      </c>
      <c r="FR252" s="363">
        <f t="shared" si="417"/>
        <v>0</v>
      </c>
      <c r="FS252" s="364" t="e">
        <f t="shared" si="414"/>
        <v>#DIV/0!</v>
      </c>
      <c r="FT252" s="362"/>
      <c r="FX252" s="351"/>
      <c r="FY252" s="351"/>
      <c r="FZ252" s="351"/>
      <c r="GA252" s="351"/>
      <c r="GB252" s="351"/>
      <c r="GC252" s="351"/>
      <c r="GD252" s="351"/>
      <c r="GE252" s="351"/>
      <c r="GF252" s="351"/>
      <c r="GG252" s="351"/>
      <c r="GH252" s="351"/>
      <c r="GJ252" s="262"/>
    </row>
    <row r="253" spans="160:192" ht="14.4" customHeight="1" x14ac:dyDescent="0.3">
      <c r="FD253" s="429" t="s">
        <v>111</v>
      </c>
      <c r="FE253" s="399" t="str">
        <f t="shared" si="416"/>
        <v>Mantto. Equipo varios</v>
      </c>
      <c r="FF253" s="400">
        <v>0</v>
      </c>
      <c r="FG253" s="400">
        <v>0</v>
      </c>
      <c r="FH253" s="400">
        <v>0</v>
      </c>
      <c r="FI253" s="400">
        <v>0</v>
      </c>
      <c r="FJ253" s="400">
        <v>0</v>
      </c>
      <c r="FK253" s="400">
        <v>0</v>
      </c>
      <c r="FL253" s="400">
        <v>0</v>
      </c>
      <c r="FM253" s="400">
        <v>0</v>
      </c>
      <c r="FN253" s="400">
        <v>0</v>
      </c>
      <c r="FO253" s="400">
        <v>0</v>
      </c>
      <c r="FP253" s="400">
        <v>0</v>
      </c>
      <c r="FQ253" s="400">
        <v>0</v>
      </c>
      <c r="FR253" s="363">
        <f t="shared" si="417"/>
        <v>0</v>
      </c>
      <c r="FS253" s="260" t="e">
        <f t="shared" si="414"/>
        <v>#DIV/0!</v>
      </c>
      <c r="FT253" s="362"/>
      <c r="FX253" s="351"/>
      <c r="FY253" s="351"/>
      <c r="FZ253" s="351"/>
      <c r="GA253" s="351"/>
      <c r="GB253" s="351"/>
      <c r="GC253" s="351"/>
      <c r="GD253" s="351"/>
      <c r="GE253" s="351"/>
      <c r="GF253" s="351"/>
      <c r="GG253" s="351"/>
      <c r="GH253" s="351"/>
      <c r="GJ253" s="262"/>
    </row>
    <row r="254" spans="160:192" ht="14.4" customHeight="1" x14ac:dyDescent="0.3">
      <c r="FD254" s="397" t="s">
        <v>113</v>
      </c>
      <c r="FE254" s="399" t="str">
        <f t="shared" si="416"/>
        <v>Mantto Aires Acondicionados</v>
      </c>
      <c r="FF254" s="400">
        <v>0</v>
      </c>
      <c r="FG254" s="400">
        <v>0</v>
      </c>
      <c r="FH254" s="400">
        <v>0</v>
      </c>
      <c r="FI254" s="400">
        <v>0</v>
      </c>
      <c r="FJ254" s="400">
        <v>0</v>
      </c>
      <c r="FK254" s="400">
        <v>0</v>
      </c>
      <c r="FL254" s="400">
        <v>0</v>
      </c>
      <c r="FM254" s="400">
        <v>0</v>
      </c>
      <c r="FN254" s="400">
        <v>0</v>
      </c>
      <c r="FO254" s="400">
        <v>0</v>
      </c>
      <c r="FP254" s="400">
        <v>0</v>
      </c>
      <c r="FQ254" s="400">
        <v>0</v>
      </c>
      <c r="FR254" s="363">
        <f t="shared" si="417"/>
        <v>0</v>
      </c>
      <c r="FS254" s="364" t="e">
        <f t="shared" si="414"/>
        <v>#DIV/0!</v>
      </c>
      <c r="FT254" s="362"/>
      <c r="FX254" s="351"/>
      <c r="FY254" s="351"/>
      <c r="FZ254" s="351"/>
      <c r="GA254" s="351"/>
      <c r="GB254" s="351"/>
      <c r="GC254" s="351"/>
      <c r="GD254" s="351"/>
      <c r="GE254" s="351"/>
      <c r="GF254" s="351"/>
      <c r="GG254" s="351"/>
      <c r="GH254" s="351"/>
      <c r="GJ254" s="262"/>
    </row>
    <row r="255" spans="160:192" ht="14.4" customHeight="1" x14ac:dyDescent="0.3">
      <c r="FD255" s="397" t="s">
        <v>115</v>
      </c>
      <c r="FE255" s="357" t="s">
        <v>112</v>
      </c>
      <c r="FF255" s="325">
        <f>SUM(FF256:FF258)</f>
        <v>0</v>
      </c>
      <c r="FG255" s="325">
        <f t="shared" ref="FG255:FQ255" si="418">SUM(FG256:FG258)</f>
        <v>0</v>
      </c>
      <c r="FH255" s="325">
        <f t="shared" si="418"/>
        <v>0</v>
      </c>
      <c r="FI255" s="325">
        <f t="shared" si="418"/>
        <v>0</v>
      </c>
      <c r="FJ255" s="325">
        <f t="shared" si="418"/>
        <v>0</v>
      </c>
      <c r="FK255" s="325">
        <f t="shared" si="418"/>
        <v>0</v>
      </c>
      <c r="FL255" s="325">
        <f t="shared" si="418"/>
        <v>0</v>
      </c>
      <c r="FM255" s="325">
        <f t="shared" si="418"/>
        <v>0</v>
      </c>
      <c r="FN255" s="325">
        <f t="shared" si="418"/>
        <v>0</v>
      </c>
      <c r="FO255" s="325">
        <f t="shared" si="418"/>
        <v>0</v>
      </c>
      <c r="FP255" s="325">
        <f t="shared" si="418"/>
        <v>0</v>
      </c>
      <c r="FQ255" s="325">
        <f t="shared" si="418"/>
        <v>0</v>
      </c>
      <c r="FR255" s="309">
        <f>SUM(FF255:FQ255)</f>
        <v>0</v>
      </c>
      <c r="FS255" s="364" t="e">
        <f t="shared" si="414"/>
        <v>#DIV/0!</v>
      </c>
      <c r="FT255" s="362"/>
      <c r="FX255" s="351"/>
      <c r="FY255" s="351"/>
      <c r="FZ255" s="351"/>
      <c r="GA255" s="351"/>
      <c r="GB255" s="351"/>
      <c r="GC255" s="351"/>
      <c r="GD255" s="351"/>
      <c r="GE255" s="351"/>
      <c r="GF255" s="351"/>
      <c r="GG255" s="351"/>
      <c r="GH255" s="351"/>
      <c r="GJ255" s="262"/>
    </row>
    <row r="256" spans="160:192" ht="14.4" customHeight="1" x14ac:dyDescent="0.3">
      <c r="FD256" s="397" t="s">
        <v>117</v>
      </c>
      <c r="FE256" s="399" t="str">
        <f t="shared" ref="FE256:FE258" si="419">FE81</f>
        <v>Arrendamiento Veh.</v>
      </c>
      <c r="FF256" s="400"/>
      <c r="FG256" s="400"/>
      <c r="FH256" s="400"/>
      <c r="FI256" s="400"/>
      <c r="FJ256" s="400"/>
      <c r="FK256" s="400"/>
      <c r="FL256" s="400"/>
      <c r="FM256" s="400"/>
      <c r="FN256" s="400"/>
      <c r="FO256" s="400"/>
      <c r="FP256" s="400"/>
      <c r="FQ256" s="400"/>
      <c r="FR256" s="363">
        <f t="shared" ref="FR256:FR258" si="420">SUM(FF256:FQ256)</f>
        <v>0</v>
      </c>
      <c r="FS256" s="364" t="e">
        <f t="shared" si="414"/>
        <v>#DIV/0!</v>
      </c>
      <c r="FT256" s="362"/>
      <c r="FX256" s="351"/>
      <c r="FY256" s="351"/>
      <c r="FZ256" s="351"/>
      <c r="GA256" s="351"/>
      <c r="GB256" s="351"/>
      <c r="GC256" s="351"/>
      <c r="GD256" s="351"/>
      <c r="GE256" s="351"/>
      <c r="GF256" s="351"/>
      <c r="GG256" s="351"/>
      <c r="GH256" s="351"/>
      <c r="GJ256" s="262"/>
    </row>
    <row r="257" spans="160:192" ht="14.4" customHeight="1" x14ac:dyDescent="0.3">
      <c r="FD257" s="429" t="s">
        <v>118</v>
      </c>
      <c r="FE257" s="399" t="str">
        <f t="shared" si="419"/>
        <v>Arrendamiento edificios</v>
      </c>
      <c r="FF257" s="437">
        <f t="shared" ref="FF257:FQ257" si="421">+$FF$383*FF376</f>
        <v>0</v>
      </c>
      <c r="FG257" s="437">
        <f t="shared" si="421"/>
        <v>0</v>
      </c>
      <c r="FH257" s="437">
        <f t="shared" si="421"/>
        <v>0</v>
      </c>
      <c r="FI257" s="437">
        <f t="shared" si="421"/>
        <v>0</v>
      </c>
      <c r="FJ257" s="437">
        <f t="shared" si="421"/>
        <v>0</v>
      </c>
      <c r="FK257" s="437">
        <f t="shared" si="421"/>
        <v>0</v>
      </c>
      <c r="FL257" s="437">
        <f t="shared" si="421"/>
        <v>0</v>
      </c>
      <c r="FM257" s="437">
        <f t="shared" si="421"/>
        <v>0</v>
      </c>
      <c r="FN257" s="437">
        <f t="shared" si="421"/>
        <v>0</v>
      </c>
      <c r="FO257" s="437">
        <f t="shared" si="421"/>
        <v>0</v>
      </c>
      <c r="FP257" s="437">
        <f t="shared" si="421"/>
        <v>0</v>
      </c>
      <c r="FQ257" s="437">
        <f t="shared" si="421"/>
        <v>0</v>
      </c>
      <c r="FR257" s="363">
        <f t="shared" si="420"/>
        <v>0</v>
      </c>
      <c r="FS257" s="260" t="e">
        <f t="shared" si="414"/>
        <v>#DIV/0!</v>
      </c>
      <c r="FT257" s="362"/>
      <c r="FX257" s="351"/>
      <c r="FY257" s="351"/>
      <c r="FZ257" s="351"/>
      <c r="GA257" s="351"/>
      <c r="GB257" s="351"/>
      <c r="GC257" s="351"/>
      <c r="GD257" s="351"/>
      <c r="GE257" s="351"/>
      <c r="GF257" s="351"/>
      <c r="GG257" s="351"/>
      <c r="GH257" s="351"/>
      <c r="GJ257" s="262"/>
    </row>
    <row r="258" spans="160:192" ht="14.4" customHeight="1" x14ac:dyDescent="0.3">
      <c r="FD258" s="397" t="s">
        <v>120</v>
      </c>
      <c r="FE258" s="399" t="str">
        <f t="shared" si="419"/>
        <v>Alquiler otros</v>
      </c>
      <c r="FF258" s="400"/>
      <c r="FG258" s="400"/>
      <c r="FH258" s="400"/>
      <c r="FI258" s="400"/>
      <c r="FJ258" s="400"/>
      <c r="FK258" s="400"/>
      <c r="FL258" s="400"/>
      <c r="FM258" s="400"/>
      <c r="FN258" s="400"/>
      <c r="FO258" s="400"/>
      <c r="FP258" s="400"/>
      <c r="FQ258" s="400"/>
      <c r="FR258" s="363">
        <f t="shared" si="420"/>
        <v>0</v>
      </c>
      <c r="FS258" s="364" t="e">
        <f t="shared" si="414"/>
        <v>#DIV/0!</v>
      </c>
      <c r="FT258" s="362"/>
      <c r="FX258" s="351"/>
      <c r="FY258" s="351"/>
      <c r="FZ258" s="351"/>
      <c r="GA258" s="351"/>
      <c r="GB258" s="351"/>
      <c r="GC258" s="351"/>
      <c r="GD258" s="351"/>
      <c r="GE258" s="351"/>
      <c r="GF258" s="351"/>
      <c r="GG258" s="351"/>
      <c r="GH258" s="351"/>
      <c r="GJ258" s="262"/>
    </row>
    <row r="259" spans="160:192" ht="14.4" customHeight="1" x14ac:dyDescent="0.3">
      <c r="FD259" s="397" t="s">
        <v>122</v>
      </c>
      <c r="FE259" s="357" t="s">
        <v>119</v>
      </c>
      <c r="FF259" s="325">
        <f>SUM(FF260:FF266)</f>
        <v>0</v>
      </c>
      <c r="FG259" s="325">
        <f t="shared" ref="FG259:FQ259" si="422">SUM(FG260:FG266)</f>
        <v>0</v>
      </c>
      <c r="FH259" s="325">
        <f t="shared" si="422"/>
        <v>0</v>
      </c>
      <c r="FI259" s="325">
        <f t="shared" si="422"/>
        <v>0</v>
      </c>
      <c r="FJ259" s="325">
        <f t="shared" si="422"/>
        <v>0</v>
      </c>
      <c r="FK259" s="325">
        <f t="shared" si="422"/>
        <v>0</v>
      </c>
      <c r="FL259" s="325">
        <f t="shared" si="422"/>
        <v>0</v>
      </c>
      <c r="FM259" s="325">
        <f t="shared" si="422"/>
        <v>0</v>
      </c>
      <c r="FN259" s="325">
        <f t="shared" si="422"/>
        <v>0</v>
      </c>
      <c r="FO259" s="325">
        <f t="shared" si="422"/>
        <v>0</v>
      </c>
      <c r="FP259" s="325">
        <f t="shared" si="422"/>
        <v>0</v>
      </c>
      <c r="FQ259" s="325">
        <f t="shared" si="422"/>
        <v>0</v>
      </c>
      <c r="FR259" s="309">
        <f>SUM(FF259:FQ259)</f>
        <v>0</v>
      </c>
      <c r="FS259" s="364" t="e">
        <f t="shared" si="414"/>
        <v>#DIV/0!</v>
      </c>
      <c r="FT259" s="362"/>
      <c r="FX259" s="351"/>
      <c r="FY259" s="351"/>
      <c r="FZ259" s="351"/>
      <c r="GA259" s="351"/>
      <c r="GB259" s="351"/>
      <c r="GC259" s="351"/>
      <c r="GD259" s="351"/>
      <c r="GE259" s="351"/>
      <c r="GF259" s="351"/>
      <c r="GG259" s="351"/>
      <c r="GH259" s="351"/>
      <c r="GJ259" s="262"/>
    </row>
    <row r="260" spans="160:192" ht="14.4" customHeight="1" x14ac:dyDescent="0.3">
      <c r="FD260" s="397" t="s">
        <v>124</v>
      </c>
      <c r="FE260" s="399" t="str">
        <f t="shared" ref="FE260:FE266" si="423">FE85</f>
        <v>Servicios energia electrica</v>
      </c>
      <c r="FF260" s="400">
        <v>0</v>
      </c>
      <c r="FG260" s="400">
        <v>0</v>
      </c>
      <c r="FH260" s="400">
        <v>0</v>
      </c>
      <c r="FI260" s="400">
        <v>0</v>
      </c>
      <c r="FJ260" s="400">
        <v>0</v>
      </c>
      <c r="FK260" s="400">
        <v>0</v>
      </c>
      <c r="FL260" s="400">
        <v>0</v>
      </c>
      <c r="FM260" s="400">
        <v>0</v>
      </c>
      <c r="FN260" s="400">
        <v>0</v>
      </c>
      <c r="FO260" s="400">
        <v>0</v>
      </c>
      <c r="FP260" s="400">
        <v>0</v>
      </c>
      <c r="FQ260" s="400">
        <v>0</v>
      </c>
      <c r="FR260" s="363">
        <f t="shared" ref="FR260:FR266" si="424">SUM(FF260:FQ260)</f>
        <v>0</v>
      </c>
      <c r="FS260" s="364" t="e">
        <f t="shared" si="414"/>
        <v>#DIV/0!</v>
      </c>
      <c r="FT260" s="362"/>
      <c r="FX260" s="351"/>
      <c r="FY260" s="351"/>
      <c r="FZ260" s="351"/>
      <c r="GA260" s="351"/>
      <c r="GB260" s="351"/>
      <c r="GC260" s="351"/>
      <c r="GD260" s="351"/>
      <c r="GE260" s="351"/>
      <c r="GF260" s="351"/>
      <c r="GG260" s="351"/>
      <c r="GH260" s="351"/>
      <c r="GJ260" s="262"/>
    </row>
    <row r="261" spans="160:192" ht="14.4" customHeight="1" x14ac:dyDescent="0.3">
      <c r="FD261" s="397" t="s">
        <v>126</v>
      </c>
      <c r="FE261" s="399" t="str">
        <f t="shared" si="423"/>
        <v>Servicos telefonia fija</v>
      </c>
      <c r="FF261" s="400">
        <v>0</v>
      </c>
      <c r="FG261" s="400">
        <v>0</v>
      </c>
      <c r="FH261" s="400">
        <v>0</v>
      </c>
      <c r="FI261" s="400">
        <v>0</v>
      </c>
      <c r="FJ261" s="400">
        <v>0</v>
      </c>
      <c r="FK261" s="400">
        <v>0</v>
      </c>
      <c r="FL261" s="400">
        <v>0</v>
      </c>
      <c r="FM261" s="400">
        <v>0</v>
      </c>
      <c r="FN261" s="400">
        <v>0</v>
      </c>
      <c r="FO261" s="400">
        <v>0</v>
      </c>
      <c r="FP261" s="400">
        <v>0</v>
      </c>
      <c r="FQ261" s="400">
        <v>0</v>
      </c>
      <c r="FR261" s="363">
        <f t="shared" si="424"/>
        <v>0</v>
      </c>
      <c r="FS261" s="364" t="e">
        <f t="shared" si="414"/>
        <v>#DIV/0!</v>
      </c>
      <c r="FT261" s="362"/>
      <c r="FX261" s="351"/>
      <c r="FY261" s="351"/>
      <c r="FZ261" s="351"/>
      <c r="GA261" s="351"/>
      <c r="GB261" s="351"/>
      <c r="GC261" s="351"/>
      <c r="GD261" s="351"/>
      <c r="GE261" s="351"/>
      <c r="GF261" s="351"/>
      <c r="GG261" s="351"/>
      <c r="GH261" s="351"/>
      <c r="GJ261" s="262"/>
    </row>
    <row r="262" spans="160:192" ht="14.4" customHeight="1" x14ac:dyDescent="0.3">
      <c r="FD262" s="397" t="s">
        <v>128</v>
      </c>
      <c r="FE262" s="399" t="str">
        <f t="shared" si="423"/>
        <v>Servicios internet</v>
      </c>
      <c r="FF262" s="400">
        <v>0</v>
      </c>
      <c r="FG262" s="400">
        <v>0</v>
      </c>
      <c r="FH262" s="400">
        <v>0</v>
      </c>
      <c r="FI262" s="400">
        <v>0</v>
      </c>
      <c r="FJ262" s="400">
        <v>0</v>
      </c>
      <c r="FK262" s="400">
        <v>0</v>
      </c>
      <c r="FL262" s="400">
        <v>0</v>
      </c>
      <c r="FM262" s="400">
        <v>0</v>
      </c>
      <c r="FN262" s="400">
        <v>0</v>
      </c>
      <c r="FO262" s="400">
        <v>0</v>
      </c>
      <c r="FP262" s="400">
        <v>0</v>
      </c>
      <c r="FQ262" s="400">
        <v>0</v>
      </c>
      <c r="FR262" s="363">
        <f t="shared" si="424"/>
        <v>0</v>
      </c>
      <c r="FS262" s="364" t="e">
        <f t="shared" si="414"/>
        <v>#DIV/0!</v>
      </c>
      <c r="FT262" s="362"/>
      <c r="FX262" s="351"/>
      <c r="FY262" s="351"/>
      <c r="FZ262" s="351"/>
      <c r="GA262" s="351"/>
      <c r="GB262" s="351"/>
      <c r="GC262" s="351"/>
      <c r="GD262" s="351"/>
      <c r="GE262" s="351"/>
      <c r="GF262" s="351"/>
      <c r="GG262" s="351"/>
      <c r="GH262" s="351"/>
      <c r="GJ262" s="262"/>
    </row>
    <row r="263" spans="160:192" ht="14.4" customHeight="1" x14ac:dyDescent="0.3">
      <c r="FD263" s="397" t="s">
        <v>130</v>
      </c>
      <c r="FE263" s="399" t="str">
        <f t="shared" si="423"/>
        <v>Servicos agua potable</v>
      </c>
      <c r="FF263" s="400">
        <v>0</v>
      </c>
      <c r="FG263" s="400">
        <v>0</v>
      </c>
      <c r="FH263" s="400">
        <v>0</v>
      </c>
      <c r="FI263" s="400">
        <v>0</v>
      </c>
      <c r="FJ263" s="400">
        <v>0</v>
      </c>
      <c r="FK263" s="400">
        <v>0</v>
      </c>
      <c r="FL263" s="400">
        <v>0</v>
      </c>
      <c r="FM263" s="400">
        <v>0</v>
      </c>
      <c r="FN263" s="400">
        <v>0</v>
      </c>
      <c r="FO263" s="400">
        <v>0</v>
      </c>
      <c r="FP263" s="400">
        <v>0</v>
      </c>
      <c r="FQ263" s="400">
        <v>0</v>
      </c>
      <c r="FR263" s="363">
        <f t="shared" si="424"/>
        <v>0</v>
      </c>
      <c r="FS263" s="364" t="e">
        <f t="shared" si="414"/>
        <v>#DIV/0!</v>
      </c>
      <c r="FT263" s="362"/>
      <c r="FX263" s="351"/>
      <c r="FY263" s="351"/>
      <c r="FZ263" s="351"/>
      <c r="GA263" s="351"/>
      <c r="GB263" s="351"/>
      <c r="GC263" s="351"/>
      <c r="GD263" s="351"/>
      <c r="GE263" s="351"/>
      <c r="GF263" s="351"/>
      <c r="GG263" s="351"/>
      <c r="GH263" s="351"/>
      <c r="GJ263" s="262"/>
    </row>
    <row r="264" spans="160:192" ht="14.4" customHeight="1" x14ac:dyDescent="0.3">
      <c r="FD264" s="397" t="s">
        <v>132</v>
      </c>
      <c r="FE264" s="399" t="str">
        <f t="shared" si="423"/>
        <v>Agua purificada</v>
      </c>
      <c r="FF264" s="400">
        <v>0</v>
      </c>
      <c r="FG264" s="400">
        <v>0</v>
      </c>
      <c r="FH264" s="400">
        <v>0</v>
      </c>
      <c r="FI264" s="400">
        <v>0</v>
      </c>
      <c r="FJ264" s="400">
        <v>0</v>
      </c>
      <c r="FK264" s="400">
        <v>0</v>
      </c>
      <c r="FL264" s="400">
        <v>0</v>
      </c>
      <c r="FM264" s="400">
        <v>0</v>
      </c>
      <c r="FN264" s="400">
        <v>0</v>
      </c>
      <c r="FO264" s="400">
        <v>0</v>
      </c>
      <c r="FP264" s="400">
        <v>0</v>
      </c>
      <c r="FQ264" s="400">
        <v>0</v>
      </c>
      <c r="FR264" s="363">
        <f t="shared" si="424"/>
        <v>0</v>
      </c>
      <c r="FS264" s="364" t="e">
        <f t="shared" si="414"/>
        <v>#DIV/0!</v>
      </c>
      <c r="FT264" s="362"/>
      <c r="FX264" s="351"/>
      <c r="FY264" s="351"/>
      <c r="FZ264" s="351"/>
      <c r="GA264" s="351"/>
      <c r="GB264" s="351"/>
      <c r="GC264" s="351"/>
      <c r="GD264" s="351"/>
      <c r="GE264" s="351"/>
      <c r="GF264" s="351"/>
      <c r="GG264" s="351"/>
      <c r="GH264" s="351"/>
      <c r="GJ264" s="262"/>
    </row>
    <row r="265" spans="160:192" ht="14.4" customHeight="1" x14ac:dyDescent="0.3">
      <c r="FD265" s="429" t="s">
        <v>134</v>
      </c>
      <c r="FE265" s="399" t="str">
        <f t="shared" si="423"/>
        <v>Servicos agua en pipa</v>
      </c>
      <c r="FF265" s="400">
        <v>0</v>
      </c>
      <c r="FG265" s="400">
        <v>0</v>
      </c>
      <c r="FH265" s="400">
        <v>0</v>
      </c>
      <c r="FI265" s="400">
        <v>0</v>
      </c>
      <c r="FJ265" s="400">
        <v>0</v>
      </c>
      <c r="FK265" s="400">
        <v>0</v>
      </c>
      <c r="FL265" s="400">
        <v>0</v>
      </c>
      <c r="FM265" s="400">
        <v>0</v>
      </c>
      <c r="FN265" s="400">
        <v>0</v>
      </c>
      <c r="FO265" s="400">
        <v>0</v>
      </c>
      <c r="FP265" s="400">
        <v>0</v>
      </c>
      <c r="FQ265" s="400">
        <v>0</v>
      </c>
      <c r="FR265" s="363">
        <f t="shared" si="424"/>
        <v>0</v>
      </c>
      <c r="FS265" s="260" t="e">
        <f t="shared" si="414"/>
        <v>#DIV/0!</v>
      </c>
      <c r="FT265" s="362"/>
      <c r="FX265" s="351"/>
      <c r="FY265" s="351"/>
      <c r="FZ265" s="351"/>
      <c r="GA265" s="351"/>
      <c r="GB265" s="351"/>
      <c r="GC265" s="351"/>
      <c r="GD265" s="351"/>
      <c r="GE265" s="351"/>
      <c r="GF265" s="351"/>
      <c r="GG265" s="351"/>
      <c r="GH265" s="351"/>
      <c r="GJ265" s="262"/>
    </row>
    <row r="266" spans="160:192" ht="14.4" customHeight="1" x14ac:dyDescent="0.3">
      <c r="FD266" s="397" t="s">
        <v>136</v>
      </c>
      <c r="FE266" s="399" t="str">
        <f t="shared" si="423"/>
        <v>Servicios telefonia celular</v>
      </c>
      <c r="FF266" s="400">
        <v>0</v>
      </c>
      <c r="FG266" s="400">
        <v>0</v>
      </c>
      <c r="FH266" s="400">
        <v>0</v>
      </c>
      <c r="FI266" s="400">
        <v>0</v>
      </c>
      <c r="FJ266" s="400">
        <v>0</v>
      </c>
      <c r="FK266" s="400">
        <v>0</v>
      </c>
      <c r="FL266" s="400">
        <v>0</v>
      </c>
      <c r="FM266" s="400">
        <v>0</v>
      </c>
      <c r="FN266" s="400">
        <v>0</v>
      </c>
      <c r="FO266" s="400">
        <v>0</v>
      </c>
      <c r="FP266" s="400">
        <v>0</v>
      </c>
      <c r="FQ266" s="400">
        <v>0</v>
      </c>
      <c r="FR266" s="363">
        <f t="shared" si="424"/>
        <v>0</v>
      </c>
      <c r="FS266" s="364" t="e">
        <f t="shared" si="414"/>
        <v>#DIV/0!</v>
      </c>
      <c r="FT266" s="362"/>
      <c r="FX266" s="351"/>
      <c r="FY266" s="351"/>
      <c r="FZ266" s="351"/>
      <c r="GA266" s="351"/>
      <c r="GB266" s="351"/>
      <c r="GC266" s="351"/>
      <c r="GD266" s="351"/>
      <c r="GE266" s="351"/>
      <c r="GF266" s="351"/>
      <c r="GG266" s="351"/>
      <c r="GH266" s="351"/>
      <c r="GJ266" s="262"/>
    </row>
    <row r="267" spans="160:192" ht="14.4" customHeight="1" x14ac:dyDescent="0.3">
      <c r="FD267" s="397" t="s">
        <v>138</v>
      </c>
      <c r="FE267" s="357" t="s">
        <v>135</v>
      </c>
      <c r="FF267" s="325">
        <f>SUM(FF268:FF272)</f>
        <v>0</v>
      </c>
      <c r="FG267" s="325">
        <f t="shared" ref="FG267:FQ267" si="425">SUM(FG268:FG272)</f>
        <v>0</v>
      </c>
      <c r="FH267" s="325">
        <f t="shared" si="425"/>
        <v>0</v>
      </c>
      <c r="FI267" s="325">
        <f t="shared" si="425"/>
        <v>0</v>
      </c>
      <c r="FJ267" s="325">
        <f t="shared" si="425"/>
        <v>0</v>
      </c>
      <c r="FK267" s="325">
        <f t="shared" si="425"/>
        <v>0</v>
      </c>
      <c r="FL267" s="325">
        <f t="shared" si="425"/>
        <v>0</v>
      </c>
      <c r="FM267" s="325">
        <f t="shared" si="425"/>
        <v>0</v>
      </c>
      <c r="FN267" s="325">
        <f t="shared" si="425"/>
        <v>0</v>
      </c>
      <c r="FO267" s="325">
        <f t="shared" si="425"/>
        <v>0</v>
      </c>
      <c r="FP267" s="325">
        <f t="shared" si="425"/>
        <v>0</v>
      </c>
      <c r="FQ267" s="325">
        <f t="shared" si="425"/>
        <v>0</v>
      </c>
      <c r="FR267" s="309">
        <f>SUM(FF267:FQ267)</f>
        <v>0</v>
      </c>
      <c r="FS267" s="364" t="e">
        <f t="shared" si="414"/>
        <v>#DIV/0!</v>
      </c>
      <c r="FT267" s="362"/>
      <c r="FX267" s="351"/>
      <c r="FY267" s="351"/>
      <c r="FZ267" s="351"/>
      <c r="GA267" s="351"/>
      <c r="GB267" s="351"/>
      <c r="GC267" s="351"/>
      <c r="GD267" s="351"/>
      <c r="GE267" s="351"/>
      <c r="GF267" s="351"/>
      <c r="GG267" s="351"/>
      <c r="GH267" s="351"/>
      <c r="GJ267" s="262"/>
    </row>
    <row r="268" spans="160:192" ht="14.4" customHeight="1" x14ac:dyDescent="0.3">
      <c r="FD268" s="397" t="s">
        <v>140</v>
      </c>
      <c r="FE268" s="399" t="str">
        <f t="shared" ref="FE268:FE272" si="426">FE93</f>
        <v>Seguro automovil</v>
      </c>
      <c r="FF268" s="400">
        <v>0</v>
      </c>
      <c r="FG268" s="400">
        <v>0</v>
      </c>
      <c r="FH268" s="400">
        <v>0</v>
      </c>
      <c r="FI268" s="400">
        <v>0</v>
      </c>
      <c r="FJ268" s="400">
        <v>0</v>
      </c>
      <c r="FK268" s="400">
        <v>0</v>
      </c>
      <c r="FL268" s="400">
        <v>0</v>
      </c>
      <c r="FM268" s="400">
        <v>0</v>
      </c>
      <c r="FN268" s="400">
        <v>0</v>
      </c>
      <c r="FO268" s="400">
        <v>0</v>
      </c>
      <c r="FP268" s="400">
        <v>0</v>
      </c>
      <c r="FQ268" s="400">
        <v>0</v>
      </c>
      <c r="FR268" s="363">
        <f t="shared" ref="FR268:FR272" si="427">SUM(FF268:FQ268)</f>
        <v>0</v>
      </c>
      <c r="FS268" s="364" t="e">
        <f t="shared" si="414"/>
        <v>#DIV/0!</v>
      </c>
      <c r="FT268" s="362"/>
      <c r="FX268" s="351"/>
      <c r="FY268" s="351"/>
      <c r="FZ268" s="351"/>
      <c r="GA268" s="351"/>
      <c r="GB268" s="351"/>
      <c r="GC268" s="351"/>
      <c r="GD268" s="351"/>
      <c r="GE268" s="351"/>
      <c r="GF268" s="351"/>
      <c r="GG268" s="351"/>
      <c r="GH268" s="351"/>
      <c r="GJ268" s="262"/>
    </row>
    <row r="269" spans="160:192" ht="14.4" customHeight="1" x14ac:dyDescent="0.3">
      <c r="FD269" s="397" t="s">
        <v>142</v>
      </c>
      <c r="FE269" s="399" t="str">
        <f t="shared" si="426"/>
        <v>Seguro responsabilidad civil</v>
      </c>
      <c r="FF269" s="400">
        <v>0</v>
      </c>
      <c r="FG269" s="400">
        <v>0</v>
      </c>
      <c r="FH269" s="400">
        <v>0</v>
      </c>
      <c r="FI269" s="400">
        <v>0</v>
      </c>
      <c r="FJ269" s="400">
        <v>0</v>
      </c>
      <c r="FK269" s="400">
        <v>0</v>
      </c>
      <c r="FL269" s="400">
        <v>0</v>
      </c>
      <c r="FM269" s="400">
        <v>0</v>
      </c>
      <c r="FN269" s="400">
        <v>0</v>
      </c>
      <c r="FO269" s="400">
        <v>0</v>
      </c>
      <c r="FP269" s="400">
        <v>0</v>
      </c>
      <c r="FQ269" s="400">
        <v>0</v>
      </c>
      <c r="FR269" s="363">
        <f t="shared" si="427"/>
        <v>0</v>
      </c>
      <c r="FS269" s="364" t="e">
        <f t="shared" si="414"/>
        <v>#DIV/0!</v>
      </c>
      <c r="FT269" s="362"/>
      <c r="FX269" s="351"/>
      <c r="FY269" s="351"/>
      <c r="FZ269" s="351"/>
      <c r="GA269" s="351"/>
      <c r="GB269" s="351"/>
      <c r="GC269" s="351"/>
      <c r="GD269" s="351"/>
      <c r="GE269" s="351"/>
      <c r="GF269" s="351"/>
      <c r="GG269" s="351"/>
      <c r="GH269" s="351"/>
      <c r="GJ269" s="262"/>
    </row>
    <row r="270" spans="160:192" ht="14.4" customHeight="1" x14ac:dyDescent="0.3">
      <c r="FD270" s="397" t="s">
        <v>144</v>
      </c>
      <c r="FE270" s="399" t="str">
        <f t="shared" si="426"/>
        <v>Seguro incendio</v>
      </c>
      <c r="FF270" s="400">
        <v>0</v>
      </c>
      <c r="FG270" s="400">
        <v>0</v>
      </c>
      <c r="FH270" s="400">
        <v>0</v>
      </c>
      <c r="FI270" s="400">
        <v>0</v>
      </c>
      <c r="FJ270" s="400">
        <v>0</v>
      </c>
      <c r="FK270" s="400">
        <v>0</v>
      </c>
      <c r="FL270" s="400">
        <v>0</v>
      </c>
      <c r="FM270" s="400">
        <v>0</v>
      </c>
      <c r="FN270" s="400">
        <v>0</v>
      </c>
      <c r="FO270" s="400">
        <v>0</v>
      </c>
      <c r="FP270" s="400">
        <v>0</v>
      </c>
      <c r="FQ270" s="400">
        <v>0</v>
      </c>
      <c r="FR270" s="363">
        <f t="shared" si="427"/>
        <v>0</v>
      </c>
      <c r="FS270" s="364" t="e">
        <f t="shared" si="414"/>
        <v>#DIV/0!</v>
      </c>
      <c r="FT270" s="362"/>
      <c r="FX270" s="351"/>
      <c r="FY270" s="351"/>
      <c r="FZ270" s="351"/>
      <c r="GA270" s="351"/>
      <c r="GB270" s="351"/>
      <c r="GC270" s="351"/>
      <c r="GD270" s="351"/>
      <c r="GE270" s="351"/>
      <c r="GF270" s="351"/>
      <c r="GG270" s="351"/>
      <c r="GH270" s="351"/>
      <c r="GJ270" s="262"/>
    </row>
    <row r="271" spans="160:192" ht="14.4" customHeight="1" x14ac:dyDescent="0.3">
      <c r="FD271" s="429" t="s">
        <v>145</v>
      </c>
      <c r="FE271" s="399" t="str">
        <f t="shared" si="426"/>
        <v>Seguro accidentes personales colectivo</v>
      </c>
      <c r="FF271" s="400">
        <v>0</v>
      </c>
      <c r="FG271" s="400">
        <v>0</v>
      </c>
      <c r="FH271" s="400">
        <v>0</v>
      </c>
      <c r="FI271" s="400">
        <v>0</v>
      </c>
      <c r="FJ271" s="400">
        <v>0</v>
      </c>
      <c r="FK271" s="400">
        <v>0</v>
      </c>
      <c r="FL271" s="400">
        <v>0</v>
      </c>
      <c r="FM271" s="400">
        <v>0</v>
      </c>
      <c r="FN271" s="400">
        <v>0</v>
      </c>
      <c r="FO271" s="400">
        <v>0</v>
      </c>
      <c r="FP271" s="400">
        <v>0</v>
      </c>
      <c r="FQ271" s="400">
        <v>0</v>
      </c>
      <c r="FR271" s="363">
        <f t="shared" si="427"/>
        <v>0</v>
      </c>
      <c r="FS271" s="260" t="e">
        <f t="shared" si="414"/>
        <v>#DIV/0!</v>
      </c>
      <c r="FT271" s="362"/>
      <c r="FX271" s="351"/>
      <c r="FY271" s="351"/>
      <c r="FZ271" s="351"/>
      <c r="GA271" s="351"/>
      <c r="GB271" s="351"/>
      <c r="GC271" s="351"/>
      <c r="GD271" s="351"/>
      <c r="GE271" s="351"/>
      <c r="GF271" s="351"/>
      <c r="GG271" s="351"/>
      <c r="GH271" s="351"/>
      <c r="GJ271" s="262"/>
    </row>
    <row r="272" spans="160:192" ht="14.4" customHeight="1" x14ac:dyDescent="0.3">
      <c r="FD272" s="397" t="s">
        <v>147</v>
      </c>
      <c r="FE272" s="399" t="str">
        <f t="shared" si="426"/>
        <v>Seguro colectivo de vida</v>
      </c>
      <c r="FF272" s="400">
        <v>0</v>
      </c>
      <c r="FG272" s="400">
        <v>0</v>
      </c>
      <c r="FH272" s="400">
        <v>0</v>
      </c>
      <c r="FI272" s="400">
        <v>0</v>
      </c>
      <c r="FJ272" s="400">
        <v>0</v>
      </c>
      <c r="FK272" s="400">
        <v>0</v>
      </c>
      <c r="FL272" s="400">
        <v>0</v>
      </c>
      <c r="FM272" s="400">
        <v>0</v>
      </c>
      <c r="FN272" s="400">
        <v>0</v>
      </c>
      <c r="FO272" s="400">
        <v>0</v>
      </c>
      <c r="FP272" s="400">
        <v>0</v>
      </c>
      <c r="FQ272" s="400">
        <v>0</v>
      </c>
      <c r="FR272" s="363">
        <f t="shared" si="427"/>
        <v>0</v>
      </c>
      <c r="FS272" s="364" t="e">
        <f t="shared" si="414"/>
        <v>#DIV/0!</v>
      </c>
      <c r="FT272" s="362"/>
      <c r="FX272" s="351"/>
      <c r="FY272" s="351"/>
      <c r="FZ272" s="351"/>
      <c r="GA272" s="351"/>
      <c r="GB272" s="351"/>
      <c r="GC272" s="351"/>
      <c r="GD272" s="351"/>
      <c r="GE272" s="351"/>
      <c r="GF272" s="351"/>
      <c r="GG272" s="351"/>
      <c r="GH272" s="351"/>
      <c r="GJ272" s="262"/>
    </row>
    <row r="273" spans="160:192" ht="14.4" customHeight="1" x14ac:dyDescent="0.3">
      <c r="FD273" s="429" t="s">
        <v>149</v>
      </c>
      <c r="FE273" s="357" t="s">
        <v>146</v>
      </c>
      <c r="FF273" s="325">
        <f>SUM(FF274)</f>
        <v>0</v>
      </c>
      <c r="FG273" s="325">
        <f t="shared" ref="FG273:FQ273" si="428">SUM(FG274)</f>
        <v>0</v>
      </c>
      <c r="FH273" s="325">
        <f t="shared" si="428"/>
        <v>0</v>
      </c>
      <c r="FI273" s="325">
        <f t="shared" si="428"/>
        <v>0</v>
      </c>
      <c r="FJ273" s="325">
        <f t="shared" si="428"/>
        <v>0</v>
      </c>
      <c r="FK273" s="325">
        <f t="shared" si="428"/>
        <v>0</v>
      </c>
      <c r="FL273" s="325">
        <f t="shared" si="428"/>
        <v>0</v>
      </c>
      <c r="FM273" s="325">
        <f t="shared" si="428"/>
        <v>0</v>
      </c>
      <c r="FN273" s="325">
        <f t="shared" si="428"/>
        <v>0</v>
      </c>
      <c r="FO273" s="325">
        <f t="shared" si="428"/>
        <v>0</v>
      </c>
      <c r="FP273" s="325">
        <f t="shared" si="428"/>
        <v>0</v>
      </c>
      <c r="FQ273" s="325">
        <f t="shared" si="428"/>
        <v>0</v>
      </c>
      <c r="FR273" s="309">
        <f>SUM(FF273:FQ273)</f>
        <v>0</v>
      </c>
      <c r="FS273" s="260" t="e">
        <f t="shared" si="414"/>
        <v>#DIV/0!</v>
      </c>
      <c r="FT273" s="362"/>
      <c r="FX273" s="351"/>
      <c r="FY273" s="351"/>
      <c r="FZ273" s="351"/>
      <c r="GA273" s="351"/>
      <c r="GB273" s="351"/>
      <c r="GC273" s="351"/>
      <c r="GD273" s="351"/>
      <c r="GE273" s="351"/>
      <c r="GF273" s="351"/>
      <c r="GG273" s="351"/>
      <c r="GH273" s="351"/>
      <c r="GJ273" s="262"/>
    </row>
    <row r="274" spans="160:192" ht="14.4" customHeight="1" x14ac:dyDescent="0.3">
      <c r="FD274" s="397" t="s">
        <v>151</v>
      </c>
      <c r="FE274" s="399" t="str">
        <f>FE99</f>
        <v>Combustible y lubricantes</v>
      </c>
      <c r="FF274" s="400"/>
      <c r="FG274" s="400"/>
      <c r="FH274" s="400"/>
      <c r="FI274" s="400"/>
      <c r="FJ274" s="400"/>
      <c r="FK274" s="400"/>
      <c r="FL274" s="400"/>
      <c r="FM274" s="400"/>
      <c r="FN274" s="400"/>
      <c r="FO274" s="400"/>
      <c r="FP274" s="400"/>
      <c r="FQ274" s="400"/>
      <c r="FR274" s="363">
        <f>SUM(FF274:FQ274)</f>
        <v>0</v>
      </c>
      <c r="FS274" s="364" t="e">
        <f t="shared" si="414"/>
        <v>#DIV/0!</v>
      </c>
      <c r="FT274" s="362"/>
      <c r="FX274" s="351"/>
      <c r="FY274" s="351"/>
      <c r="FZ274" s="351"/>
      <c r="GA274" s="351"/>
      <c r="GB274" s="351"/>
      <c r="GC274" s="351"/>
      <c r="GD274" s="351"/>
      <c r="GE274" s="351"/>
      <c r="GF274" s="351"/>
      <c r="GG274" s="351"/>
      <c r="GH274" s="351"/>
      <c r="GJ274" s="262"/>
    </row>
    <row r="275" spans="160:192" ht="14.4" customHeight="1" x14ac:dyDescent="0.3">
      <c r="FD275" s="397" t="s">
        <v>153</v>
      </c>
      <c r="FE275" s="357" t="s">
        <v>150</v>
      </c>
      <c r="FF275" s="325">
        <f>SUM(FF276:FF285)</f>
        <v>0</v>
      </c>
      <c r="FG275" s="325">
        <f t="shared" ref="FG275:FQ275" si="429">SUM(FG276:FG285)</f>
        <v>0</v>
      </c>
      <c r="FH275" s="325">
        <f t="shared" si="429"/>
        <v>0</v>
      </c>
      <c r="FI275" s="325">
        <f t="shared" si="429"/>
        <v>0</v>
      </c>
      <c r="FJ275" s="325">
        <f t="shared" si="429"/>
        <v>0</v>
      </c>
      <c r="FK275" s="325">
        <f t="shared" si="429"/>
        <v>0</v>
      </c>
      <c r="FL275" s="325">
        <f t="shared" si="429"/>
        <v>0</v>
      </c>
      <c r="FM275" s="325">
        <f t="shared" si="429"/>
        <v>0</v>
      </c>
      <c r="FN275" s="325">
        <f t="shared" si="429"/>
        <v>0</v>
      </c>
      <c r="FO275" s="325">
        <f t="shared" si="429"/>
        <v>0</v>
      </c>
      <c r="FP275" s="325">
        <f t="shared" si="429"/>
        <v>0</v>
      </c>
      <c r="FQ275" s="325">
        <f t="shared" si="429"/>
        <v>0</v>
      </c>
      <c r="FR275" s="309">
        <f>SUM(FF275:FQ275)</f>
        <v>0</v>
      </c>
      <c r="FS275" s="364" t="e">
        <f t="shared" si="414"/>
        <v>#DIV/0!</v>
      </c>
      <c r="FT275" s="362"/>
      <c r="FX275" s="351"/>
      <c r="FY275" s="351"/>
      <c r="FZ275" s="351"/>
      <c r="GA275" s="351"/>
      <c r="GB275" s="351"/>
      <c r="GC275" s="351"/>
      <c r="GD275" s="351"/>
      <c r="GE275" s="351"/>
      <c r="GF275" s="351"/>
      <c r="GG275" s="351"/>
      <c r="GH275" s="351"/>
      <c r="GJ275" s="262"/>
    </row>
    <row r="276" spans="160:192" ht="14.4" customHeight="1" x14ac:dyDescent="0.3">
      <c r="FD276" s="397" t="s">
        <v>155</v>
      </c>
      <c r="FE276" s="399" t="str">
        <f t="shared" ref="FE276:FE285" si="430">FE101</f>
        <v>Papeleria y utiles de oficina</v>
      </c>
      <c r="FF276" s="400">
        <v>0</v>
      </c>
      <c r="FG276" s="400">
        <v>0</v>
      </c>
      <c r="FH276" s="400">
        <v>0</v>
      </c>
      <c r="FI276" s="400">
        <v>0</v>
      </c>
      <c r="FJ276" s="400">
        <v>0</v>
      </c>
      <c r="FK276" s="400">
        <v>0</v>
      </c>
      <c r="FL276" s="400">
        <v>0</v>
      </c>
      <c r="FM276" s="400">
        <v>0</v>
      </c>
      <c r="FN276" s="400">
        <v>0</v>
      </c>
      <c r="FO276" s="400">
        <v>0</v>
      </c>
      <c r="FP276" s="400">
        <v>0</v>
      </c>
      <c r="FQ276" s="400">
        <v>0</v>
      </c>
      <c r="FR276" s="363">
        <f t="shared" ref="FR276:FR285" si="431">SUM(FF276:FQ276)</f>
        <v>0</v>
      </c>
      <c r="FS276" s="364" t="e">
        <f t="shared" si="414"/>
        <v>#DIV/0!</v>
      </c>
      <c r="FT276" s="362"/>
      <c r="FX276" s="351"/>
      <c r="FY276" s="351"/>
      <c r="FZ276" s="351"/>
      <c r="GA276" s="351"/>
      <c r="GB276" s="351"/>
      <c r="GC276" s="351"/>
      <c r="GD276" s="351"/>
      <c r="GE276" s="351"/>
      <c r="GF276" s="351"/>
      <c r="GG276" s="351"/>
      <c r="GH276" s="351"/>
      <c r="GJ276" s="262"/>
    </row>
    <row r="277" spans="160:192" ht="14.4" customHeight="1" x14ac:dyDescent="0.3">
      <c r="FD277" s="397" t="s">
        <v>157</v>
      </c>
      <c r="FE277" s="399" t="str">
        <f t="shared" si="430"/>
        <v>Accesorios para computadoras</v>
      </c>
      <c r="FF277" s="400">
        <v>0</v>
      </c>
      <c r="FG277" s="400">
        <v>0</v>
      </c>
      <c r="FH277" s="400">
        <v>0</v>
      </c>
      <c r="FI277" s="400">
        <v>0</v>
      </c>
      <c r="FJ277" s="400">
        <v>0</v>
      </c>
      <c r="FK277" s="400">
        <v>0</v>
      </c>
      <c r="FL277" s="400">
        <v>0</v>
      </c>
      <c r="FM277" s="400">
        <v>0</v>
      </c>
      <c r="FN277" s="400">
        <v>0</v>
      </c>
      <c r="FO277" s="400">
        <v>0</v>
      </c>
      <c r="FP277" s="400">
        <v>0</v>
      </c>
      <c r="FQ277" s="400">
        <v>0</v>
      </c>
      <c r="FR277" s="363">
        <f t="shared" si="431"/>
        <v>0</v>
      </c>
      <c r="FS277" s="364" t="e">
        <f t="shared" si="414"/>
        <v>#DIV/0!</v>
      </c>
      <c r="FT277" s="362"/>
      <c r="FX277" s="351"/>
      <c r="FY277" s="351"/>
      <c r="FZ277" s="351"/>
      <c r="GA277" s="351"/>
      <c r="GB277" s="351"/>
      <c r="GC277" s="351"/>
      <c r="GD277" s="351"/>
      <c r="GE277" s="351"/>
      <c r="GF277" s="351"/>
      <c r="GG277" s="351"/>
      <c r="GH277" s="351"/>
      <c r="GJ277" s="262"/>
    </row>
    <row r="278" spans="160:192" ht="14.4" customHeight="1" x14ac:dyDescent="0.3">
      <c r="FD278" s="397" t="s">
        <v>159</v>
      </c>
      <c r="FE278" s="399" t="str">
        <f t="shared" si="430"/>
        <v>Formularios impresos</v>
      </c>
      <c r="FF278" s="400">
        <v>0</v>
      </c>
      <c r="FG278" s="400">
        <v>0</v>
      </c>
      <c r="FH278" s="400">
        <v>0</v>
      </c>
      <c r="FI278" s="400">
        <v>0</v>
      </c>
      <c r="FJ278" s="400">
        <v>0</v>
      </c>
      <c r="FK278" s="400">
        <v>0</v>
      </c>
      <c r="FL278" s="400">
        <v>0</v>
      </c>
      <c r="FM278" s="400">
        <v>0</v>
      </c>
      <c r="FN278" s="400">
        <v>0</v>
      </c>
      <c r="FO278" s="400">
        <v>0</v>
      </c>
      <c r="FP278" s="400">
        <v>0</v>
      </c>
      <c r="FQ278" s="400">
        <v>0</v>
      </c>
      <c r="FR278" s="363">
        <f t="shared" si="431"/>
        <v>0</v>
      </c>
      <c r="FS278" s="364" t="e">
        <f t="shared" si="414"/>
        <v>#DIV/0!</v>
      </c>
      <c r="FT278" s="362"/>
      <c r="FX278" s="351"/>
      <c r="FY278" s="351"/>
      <c r="FZ278" s="351"/>
      <c r="GA278" s="351"/>
      <c r="GB278" s="351"/>
      <c r="GC278" s="351"/>
      <c r="GD278" s="351"/>
      <c r="GE278" s="351"/>
      <c r="GF278" s="351"/>
      <c r="GG278" s="351"/>
      <c r="GH278" s="351"/>
      <c r="GJ278" s="262"/>
    </row>
    <row r="279" spans="160:192" ht="14.4" customHeight="1" x14ac:dyDescent="0.3">
      <c r="FD279" s="397" t="s">
        <v>161</v>
      </c>
      <c r="FE279" s="399" t="str">
        <f t="shared" si="430"/>
        <v>Fotocopias</v>
      </c>
      <c r="FF279" s="400">
        <v>0</v>
      </c>
      <c r="FG279" s="400">
        <v>0</v>
      </c>
      <c r="FH279" s="400">
        <v>0</v>
      </c>
      <c r="FI279" s="400">
        <v>0</v>
      </c>
      <c r="FJ279" s="400">
        <v>0</v>
      </c>
      <c r="FK279" s="400">
        <v>0</v>
      </c>
      <c r="FL279" s="400">
        <v>0</v>
      </c>
      <c r="FM279" s="400">
        <v>0</v>
      </c>
      <c r="FN279" s="400">
        <v>0</v>
      </c>
      <c r="FO279" s="400">
        <v>0</v>
      </c>
      <c r="FP279" s="400">
        <v>0</v>
      </c>
      <c r="FQ279" s="400">
        <v>0</v>
      </c>
      <c r="FR279" s="363">
        <f t="shared" si="431"/>
        <v>0</v>
      </c>
      <c r="FS279" s="364" t="e">
        <f t="shared" si="414"/>
        <v>#DIV/0!</v>
      </c>
      <c r="FT279" s="362"/>
      <c r="FX279" s="351"/>
      <c r="FY279" s="351"/>
      <c r="FZ279" s="351"/>
      <c r="GA279" s="351"/>
      <c r="GB279" s="351"/>
      <c r="GC279" s="351"/>
      <c r="GD279" s="351"/>
      <c r="GE279" s="351"/>
      <c r="GF279" s="351"/>
      <c r="GG279" s="351"/>
      <c r="GH279" s="351"/>
      <c r="GJ279" s="262"/>
    </row>
    <row r="280" spans="160:192" ht="14.4" customHeight="1" x14ac:dyDescent="0.3">
      <c r="FD280" s="397" t="s">
        <v>163</v>
      </c>
      <c r="FE280" s="399" t="str">
        <f t="shared" si="430"/>
        <v>Materiales de limpieza</v>
      </c>
      <c r="FF280" s="400">
        <v>0</v>
      </c>
      <c r="FG280" s="400">
        <v>0</v>
      </c>
      <c r="FH280" s="400">
        <v>0</v>
      </c>
      <c r="FI280" s="400">
        <v>0</v>
      </c>
      <c r="FJ280" s="400">
        <v>0</v>
      </c>
      <c r="FK280" s="400">
        <v>0</v>
      </c>
      <c r="FL280" s="400">
        <v>0</v>
      </c>
      <c r="FM280" s="400">
        <v>0</v>
      </c>
      <c r="FN280" s="400">
        <v>0</v>
      </c>
      <c r="FO280" s="400">
        <v>0</v>
      </c>
      <c r="FP280" s="400">
        <v>0</v>
      </c>
      <c r="FQ280" s="400">
        <v>0</v>
      </c>
      <c r="FR280" s="363">
        <f>SUM(FF280:FQ280)</f>
        <v>0</v>
      </c>
      <c r="FS280" s="364" t="e">
        <f t="shared" si="414"/>
        <v>#DIV/0!</v>
      </c>
      <c r="FT280" s="362"/>
      <c r="FX280" s="351"/>
      <c r="FY280" s="351"/>
      <c r="FZ280" s="351"/>
      <c r="GA280" s="351"/>
      <c r="GB280" s="351"/>
      <c r="GC280" s="351"/>
      <c r="GD280" s="351"/>
      <c r="GE280" s="351"/>
      <c r="GF280" s="351"/>
      <c r="GG280" s="351"/>
      <c r="GH280" s="351"/>
      <c r="GJ280" s="262"/>
    </row>
    <row r="281" spans="160:192" ht="14.4" customHeight="1" x14ac:dyDescent="0.3">
      <c r="FD281" s="397" t="s">
        <v>165</v>
      </c>
      <c r="FE281" s="399" t="str">
        <f t="shared" si="430"/>
        <v>Material de empaque</v>
      </c>
      <c r="FF281" s="437">
        <f>FF203*'[4]Supuestos Egresos'!$B$35</f>
        <v>0</v>
      </c>
      <c r="FG281" s="437">
        <f>FG203*'[4]Supuestos Egresos'!$B$35</f>
        <v>0</v>
      </c>
      <c r="FH281" s="437">
        <f>FH203*'[4]Supuestos Egresos'!$B$35</f>
        <v>0</v>
      </c>
      <c r="FI281" s="437">
        <f>FI203*'[4]Supuestos Egresos'!$B$35</f>
        <v>0</v>
      </c>
      <c r="FJ281" s="437">
        <f>FJ203*'[4]Supuestos Egresos'!$B$35</f>
        <v>0</v>
      </c>
      <c r="FK281" s="437">
        <f>FK203*'[4]Supuestos Egresos'!$B$35</f>
        <v>0</v>
      </c>
      <c r="FL281" s="437">
        <f>FL203*'[4]Supuestos Egresos'!$B$35</f>
        <v>0</v>
      </c>
      <c r="FM281" s="437">
        <f>FM203*'[4]Supuestos Egresos'!$B$35</f>
        <v>0</v>
      </c>
      <c r="FN281" s="437">
        <f>FN203*'[4]Supuestos Egresos'!$B$35</f>
        <v>0</v>
      </c>
      <c r="FO281" s="437">
        <f>FO203*'[4]Supuestos Egresos'!$B$35</f>
        <v>0</v>
      </c>
      <c r="FP281" s="437">
        <f>FP203*'[4]Supuestos Egresos'!$B$35</f>
        <v>0</v>
      </c>
      <c r="FQ281" s="437">
        <f>FQ203*'[4]Supuestos Egresos'!$B$35</f>
        <v>0</v>
      </c>
      <c r="FR281" s="363">
        <f t="shared" si="431"/>
        <v>0</v>
      </c>
      <c r="FS281" s="364" t="e">
        <f t="shared" si="414"/>
        <v>#DIV/0!</v>
      </c>
      <c r="FT281" s="362"/>
      <c r="FX281" s="351"/>
      <c r="FY281" s="351"/>
      <c r="FZ281" s="351"/>
      <c r="GA281" s="351"/>
      <c r="GB281" s="351"/>
      <c r="GC281" s="351"/>
      <c r="GD281" s="351"/>
      <c r="GE281" s="351"/>
      <c r="GF281" s="351"/>
      <c r="GG281" s="351"/>
      <c r="GH281" s="351"/>
      <c r="GJ281" s="262"/>
    </row>
    <row r="282" spans="160:192" ht="14.4" customHeight="1" x14ac:dyDescent="0.3">
      <c r="FD282" s="397" t="s">
        <v>166</v>
      </c>
      <c r="FE282" s="399" t="str">
        <f t="shared" si="430"/>
        <v>Emision de chequeras</v>
      </c>
      <c r="FF282" s="400">
        <v>0</v>
      </c>
      <c r="FG282" s="400">
        <v>0</v>
      </c>
      <c r="FH282" s="400">
        <v>0</v>
      </c>
      <c r="FI282" s="400">
        <v>0</v>
      </c>
      <c r="FJ282" s="400">
        <v>0</v>
      </c>
      <c r="FK282" s="400">
        <v>0</v>
      </c>
      <c r="FL282" s="400">
        <v>0</v>
      </c>
      <c r="FM282" s="400">
        <v>0</v>
      </c>
      <c r="FN282" s="400">
        <v>0</v>
      </c>
      <c r="FO282" s="400">
        <v>0</v>
      </c>
      <c r="FP282" s="400">
        <v>0</v>
      </c>
      <c r="FQ282" s="400">
        <v>0</v>
      </c>
      <c r="FR282" s="363">
        <f t="shared" si="431"/>
        <v>0</v>
      </c>
      <c r="FS282" s="364" t="e">
        <f t="shared" si="414"/>
        <v>#DIV/0!</v>
      </c>
      <c r="FT282" s="362"/>
      <c r="FX282" s="351"/>
      <c r="FY282" s="351"/>
      <c r="FZ282" s="351"/>
      <c r="GA282" s="351"/>
      <c r="GB282" s="351"/>
      <c r="GC282" s="351"/>
      <c r="GD282" s="351"/>
      <c r="GE282" s="351"/>
      <c r="GF282" s="351"/>
      <c r="GG282" s="351"/>
      <c r="GH282" s="351"/>
      <c r="GJ282" s="262"/>
    </row>
    <row r="283" spans="160:192" ht="14.4" customHeight="1" x14ac:dyDescent="0.3">
      <c r="FD283" s="397" t="s">
        <v>167</v>
      </c>
      <c r="FE283" s="399" t="str">
        <f t="shared" si="430"/>
        <v>Utencilios de producción</v>
      </c>
      <c r="FF283" s="400">
        <v>0</v>
      </c>
      <c r="FG283" s="400">
        <v>0</v>
      </c>
      <c r="FH283" s="400">
        <v>0</v>
      </c>
      <c r="FI283" s="400">
        <v>0</v>
      </c>
      <c r="FJ283" s="400">
        <v>0</v>
      </c>
      <c r="FK283" s="400">
        <v>0</v>
      </c>
      <c r="FL283" s="400">
        <v>0</v>
      </c>
      <c r="FM283" s="400">
        <v>0</v>
      </c>
      <c r="FN283" s="400">
        <v>0</v>
      </c>
      <c r="FO283" s="400">
        <v>0</v>
      </c>
      <c r="FP283" s="400">
        <v>0</v>
      </c>
      <c r="FQ283" s="400">
        <v>0</v>
      </c>
      <c r="FR283" s="363">
        <f t="shared" si="431"/>
        <v>0</v>
      </c>
      <c r="FS283" s="364" t="e">
        <f t="shared" si="414"/>
        <v>#DIV/0!</v>
      </c>
      <c r="FT283" s="362"/>
      <c r="FX283" s="351"/>
      <c r="FY283" s="351"/>
      <c r="FZ283" s="351"/>
      <c r="GA283" s="351"/>
      <c r="GB283" s="351"/>
      <c r="GC283" s="351"/>
      <c r="GD283" s="351"/>
      <c r="GE283" s="351"/>
      <c r="GF283" s="351"/>
      <c r="GG283" s="351"/>
      <c r="GH283" s="351"/>
      <c r="GJ283" s="262"/>
    </row>
    <row r="284" spans="160:192" ht="14.4" customHeight="1" x14ac:dyDescent="0.3">
      <c r="FD284" s="429" t="s">
        <v>168</v>
      </c>
      <c r="FE284" s="399" t="str">
        <f t="shared" si="430"/>
        <v>Productos nuevos de introducción</v>
      </c>
      <c r="FF284" s="400">
        <v>0</v>
      </c>
      <c r="FG284" s="400">
        <v>0</v>
      </c>
      <c r="FH284" s="400">
        <v>0</v>
      </c>
      <c r="FI284" s="400">
        <v>0</v>
      </c>
      <c r="FJ284" s="400">
        <v>0</v>
      </c>
      <c r="FK284" s="400">
        <v>0</v>
      </c>
      <c r="FL284" s="400">
        <v>0</v>
      </c>
      <c r="FM284" s="400">
        <v>0</v>
      </c>
      <c r="FN284" s="400">
        <v>0</v>
      </c>
      <c r="FO284" s="400">
        <v>0</v>
      </c>
      <c r="FP284" s="400">
        <v>0</v>
      </c>
      <c r="FQ284" s="400">
        <v>0</v>
      </c>
      <c r="FR284" s="363">
        <f t="shared" si="431"/>
        <v>0</v>
      </c>
      <c r="FS284" s="260" t="e">
        <f t="shared" si="414"/>
        <v>#DIV/0!</v>
      </c>
      <c r="FT284" s="362"/>
      <c r="FX284" s="351"/>
      <c r="FY284" s="351"/>
      <c r="FZ284" s="351"/>
      <c r="GA284" s="351"/>
      <c r="GB284" s="351"/>
      <c r="GC284" s="351"/>
      <c r="GD284" s="351"/>
      <c r="GE284" s="351"/>
      <c r="GF284" s="351"/>
      <c r="GG284" s="351"/>
      <c r="GH284" s="351"/>
      <c r="GJ284" s="262"/>
    </row>
    <row r="285" spans="160:192" ht="14.4" customHeight="1" x14ac:dyDescent="0.3">
      <c r="FD285" s="397" t="s">
        <v>170</v>
      </c>
      <c r="FE285" s="399" t="str">
        <f t="shared" si="430"/>
        <v>Otros insumos</v>
      </c>
      <c r="FF285" s="400">
        <v>0</v>
      </c>
      <c r="FG285" s="400">
        <v>0</v>
      </c>
      <c r="FH285" s="400">
        <v>0</v>
      </c>
      <c r="FI285" s="400">
        <v>0</v>
      </c>
      <c r="FJ285" s="400">
        <v>0</v>
      </c>
      <c r="FK285" s="400">
        <v>0</v>
      </c>
      <c r="FL285" s="400">
        <v>0</v>
      </c>
      <c r="FM285" s="400">
        <v>0</v>
      </c>
      <c r="FN285" s="400">
        <v>0</v>
      </c>
      <c r="FO285" s="400">
        <v>0</v>
      </c>
      <c r="FP285" s="400">
        <v>0</v>
      </c>
      <c r="FQ285" s="400">
        <v>0</v>
      </c>
      <c r="FR285" s="363">
        <f t="shared" si="431"/>
        <v>0</v>
      </c>
      <c r="FS285" s="364" t="e">
        <f t="shared" si="414"/>
        <v>#DIV/0!</v>
      </c>
      <c r="FT285" s="362"/>
      <c r="FX285" s="351"/>
      <c r="FY285" s="351"/>
      <c r="FZ285" s="351"/>
      <c r="GA285" s="351"/>
      <c r="GB285" s="351"/>
      <c r="GC285" s="351"/>
      <c r="GD285" s="351"/>
      <c r="GE285" s="351"/>
      <c r="GF285" s="351"/>
      <c r="GG285" s="351"/>
      <c r="GH285" s="351"/>
      <c r="GJ285" s="262"/>
    </row>
    <row r="286" spans="160:192" ht="14.4" customHeight="1" x14ac:dyDescent="0.3">
      <c r="FD286" s="397" t="s">
        <v>172</v>
      </c>
      <c r="FE286" s="357" t="s">
        <v>169</v>
      </c>
      <c r="FF286" s="325">
        <f>SUM(FF287:FF300)</f>
        <v>0</v>
      </c>
      <c r="FG286" s="325">
        <f t="shared" ref="FG286:FQ286" si="432">SUM(FG287:FG300)</f>
        <v>0</v>
      </c>
      <c r="FH286" s="325">
        <f t="shared" si="432"/>
        <v>0</v>
      </c>
      <c r="FI286" s="325">
        <f t="shared" si="432"/>
        <v>0</v>
      </c>
      <c r="FJ286" s="325">
        <f t="shared" si="432"/>
        <v>0</v>
      </c>
      <c r="FK286" s="325">
        <f t="shared" si="432"/>
        <v>0</v>
      </c>
      <c r="FL286" s="325">
        <f t="shared" si="432"/>
        <v>0</v>
      </c>
      <c r="FM286" s="325">
        <f t="shared" si="432"/>
        <v>0</v>
      </c>
      <c r="FN286" s="325">
        <f t="shared" si="432"/>
        <v>0</v>
      </c>
      <c r="FO286" s="325">
        <f t="shared" si="432"/>
        <v>0</v>
      </c>
      <c r="FP286" s="325">
        <f t="shared" si="432"/>
        <v>0</v>
      </c>
      <c r="FQ286" s="325">
        <f t="shared" si="432"/>
        <v>0</v>
      </c>
      <c r="FR286" s="309">
        <f>SUM(FF286:FQ286)</f>
        <v>0</v>
      </c>
      <c r="FS286" s="364" t="e">
        <f t="shared" si="414"/>
        <v>#DIV/0!</v>
      </c>
      <c r="FT286" s="362"/>
      <c r="FX286" s="351"/>
      <c r="FY286" s="351"/>
      <c r="FZ286" s="351"/>
      <c r="GA286" s="351"/>
      <c r="GB286" s="351"/>
      <c r="GC286" s="351"/>
      <c r="GD286" s="351"/>
      <c r="GE286" s="351"/>
      <c r="GF286" s="351"/>
      <c r="GG286" s="351"/>
      <c r="GH286" s="351"/>
      <c r="GJ286" s="262"/>
    </row>
    <row r="287" spans="160:192" ht="14.4" customHeight="1" x14ac:dyDescent="0.3">
      <c r="FD287" s="397" t="s">
        <v>174</v>
      </c>
      <c r="FE287" s="399" t="str">
        <f t="shared" ref="FE287:FE300" si="433">FE112</f>
        <v>Publicidad prensa y revistas</v>
      </c>
      <c r="FF287" s="400">
        <v>0</v>
      </c>
      <c r="FG287" s="400">
        <v>0</v>
      </c>
      <c r="FH287" s="400">
        <v>0</v>
      </c>
      <c r="FI287" s="400">
        <v>0</v>
      </c>
      <c r="FJ287" s="400">
        <v>0</v>
      </c>
      <c r="FK287" s="400">
        <v>0</v>
      </c>
      <c r="FL287" s="400">
        <v>0</v>
      </c>
      <c r="FM287" s="400">
        <v>0</v>
      </c>
      <c r="FN287" s="400">
        <v>0</v>
      </c>
      <c r="FO287" s="400">
        <v>0</v>
      </c>
      <c r="FP287" s="400">
        <v>0</v>
      </c>
      <c r="FQ287" s="400">
        <v>0</v>
      </c>
      <c r="FR287" s="363">
        <f t="shared" ref="FR287:FR300" si="434">SUM(FF287:FQ287)</f>
        <v>0</v>
      </c>
      <c r="FS287" s="364" t="e">
        <f t="shared" si="414"/>
        <v>#DIV/0!</v>
      </c>
      <c r="FT287" s="362"/>
      <c r="FX287" s="351"/>
      <c r="FY287" s="351"/>
      <c r="FZ287" s="351"/>
      <c r="GA287" s="351"/>
      <c r="GB287" s="351"/>
      <c r="GC287" s="351"/>
      <c r="GD287" s="351"/>
      <c r="GE287" s="351"/>
      <c r="GF287" s="351"/>
      <c r="GG287" s="351"/>
      <c r="GH287" s="351"/>
      <c r="GJ287" s="262"/>
    </row>
    <row r="288" spans="160:192" ht="14.4" customHeight="1" x14ac:dyDescent="0.3">
      <c r="FD288" s="397" t="s">
        <v>176</v>
      </c>
      <c r="FE288" s="399" t="str">
        <f t="shared" si="433"/>
        <v>Publicidad radio</v>
      </c>
      <c r="FF288" s="400">
        <v>0</v>
      </c>
      <c r="FG288" s="400">
        <v>0</v>
      </c>
      <c r="FH288" s="400">
        <v>0</v>
      </c>
      <c r="FI288" s="400">
        <v>0</v>
      </c>
      <c r="FJ288" s="400">
        <v>0</v>
      </c>
      <c r="FK288" s="400">
        <v>0</v>
      </c>
      <c r="FL288" s="400">
        <v>0</v>
      </c>
      <c r="FM288" s="400">
        <v>0</v>
      </c>
      <c r="FN288" s="400">
        <v>0</v>
      </c>
      <c r="FO288" s="400">
        <v>0</v>
      </c>
      <c r="FP288" s="400">
        <v>0</v>
      </c>
      <c r="FQ288" s="400">
        <v>0</v>
      </c>
      <c r="FR288" s="363">
        <f t="shared" si="434"/>
        <v>0</v>
      </c>
      <c r="FS288" s="364" t="e">
        <f t="shared" si="414"/>
        <v>#DIV/0!</v>
      </c>
      <c r="FT288" s="362"/>
      <c r="FX288" s="351"/>
      <c r="FY288" s="351"/>
      <c r="FZ288" s="351"/>
      <c r="GA288" s="351"/>
      <c r="GB288" s="351"/>
      <c r="GC288" s="351"/>
      <c r="GD288" s="351"/>
      <c r="GE288" s="351"/>
      <c r="GF288" s="351"/>
      <c r="GG288" s="351"/>
      <c r="GH288" s="351"/>
      <c r="GJ288" s="262"/>
    </row>
    <row r="289" spans="160:192" ht="14.4" customHeight="1" x14ac:dyDescent="0.3">
      <c r="FD289" s="397" t="s">
        <v>178</v>
      </c>
      <c r="FE289" s="399" t="str">
        <f t="shared" si="433"/>
        <v>Publicidad TV</v>
      </c>
      <c r="FF289" s="400">
        <v>0</v>
      </c>
      <c r="FG289" s="400">
        <v>0</v>
      </c>
      <c r="FH289" s="400">
        <v>0</v>
      </c>
      <c r="FI289" s="400">
        <v>0</v>
      </c>
      <c r="FJ289" s="400">
        <v>0</v>
      </c>
      <c r="FK289" s="400">
        <v>0</v>
      </c>
      <c r="FL289" s="400">
        <v>0</v>
      </c>
      <c r="FM289" s="400">
        <v>0</v>
      </c>
      <c r="FN289" s="400">
        <v>0</v>
      </c>
      <c r="FO289" s="400">
        <v>0</v>
      </c>
      <c r="FP289" s="400">
        <v>0</v>
      </c>
      <c r="FQ289" s="400">
        <v>0</v>
      </c>
      <c r="FR289" s="363">
        <f t="shared" si="434"/>
        <v>0</v>
      </c>
      <c r="FS289" s="364" t="e">
        <f t="shared" si="414"/>
        <v>#DIV/0!</v>
      </c>
      <c r="FT289" s="362"/>
      <c r="FX289" s="351"/>
      <c r="FY289" s="351"/>
      <c r="FZ289" s="351"/>
      <c r="GA289" s="351"/>
      <c r="GB289" s="351"/>
      <c r="GC289" s="351"/>
      <c r="GD289" s="351"/>
      <c r="GE289" s="351"/>
      <c r="GF289" s="351"/>
      <c r="GG289" s="351"/>
      <c r="GH289" s="351"/>
      <c r="GJ289" s="262"/>
    </row>
    <row r="290" spans="160:192" ht="14.4" customHeight="1" x14ac:dyDescent="0.3">
      <c r="FD290" s="397" t="s">
        <v>179</v>
      </c>
      <c r="FE290" s="399" t="str">
        <f t="shared" si="433"/>
        <v>Publicidad cine</v>
      </c>
      <c r="FF290" s="400">
        <v>0</v>
      </c>
      <c r="FG290" s="400">
        <v>0</v>
      </c>
      <c r="FH290" s="400">
        <v>0</v>
      </c>
      <c r="FI290" s="400">
        <v>0</v>
      </c>
      <c r="FJ290" s="400">
        <v>0</v>
      </c>
      <c r="FK290" s="400">
        <v>0</v>
      </c>
      <c r="FL290" s="400">
        <v>0</v>
      </c>
      <c r="FM290" s="400">
        <v>0</v>
      </c>
      <c r="FN290" s="400">
        <v>0</v>
      </c>
      <c r="FO290" s="400">
        <v>0</v>
      </c>
      <c r="FP290" s="400">
        <v>0</v>
      </c>
      <c r="FQ290" s="400">
        <v>0</v>
      </c>
      <c r="FR290" s="363">
        <f t="shared" si="434"/>
        <v>0</v>
      </c>
      <c r="FS290" s="364" t="e">
        <f t="shared" si="414"/>
        <v>#DIV/0!</v>
      </c>
      <c r="FT290" s="362"/>
      <c r="FX290" s="351"/>
      <c r="FY290" s="351"/>
      <c r="FZ290" s="351"/>
      <c r="GA290" s="351"/>
      <c r="GB290" s="351"/>
      <c r="GC290" s="351"/>
      <c r="GD290" s="351"/>
      <c r="GE290" s="351"/>
      <c r="GF290" s="351"/>
      <c r="GG290" s="351"/>
      <c r="GH290" s="351"/>
      <c r="GJ290" s="262"/>
    </row>
    <row r="291" spans="160:192" ht="14.4" customHeight="1" x14ac:dyDescent="0.3">
      <c r="FD291" s="397" t="s">
        <v>181</v>
      </c>
      <c r="FE291" s="399" t="str">
        <f t="shared" si="433"/>
        <v>Publicidad vallas y mopis</v>
      </c>
      <c r="FF291" s="400">
        <v>0</v>
      </c>
      <c r="FG291" s="400">
        <v>0</v>
      </c>
      <c r="FH291" s="400">
        <v>0</v>
      </c>
      <c r="FI291" s="400">
        <v>0</v>
      </c>
      <c r="FJ291" s="400">
        <v>0</v>
      </c>
      <c r="FK291" s="400">
        <v>0</v>
      </c>
      <c r="FL291" s="400">
        <v>0</v>
      </c>
      <c r="FM291" s="400">
        <v>0</v>
      </c>
      <c r="FN291" s="400">
        <v>0</v>
      </c>
      <c r="FO291" s="400">
        <v>0</v>
      </c>
      <c r="FP291" s="400">
        <v>0</v>
      </c>
      <c r="FQ291" s="400">
        <v>0</v>
      </c>
      <c r="FR291" s="363">
        <f t="shared" si="434"/>
        <v>0</v>
      </c>
      <c r="FS291" s="364" t="e">
        <f t="shared" si="414"/>
        <v>#DIV/0!</v>
      </c>
      <c r="FT291" s="362"/>
      <c r="FX291" s="351"/>
      <c r="FY291" s="351"/>
      <c r="FZ291" s="351"/>
      <c r="GA291" s="351"/>
      <c r="GB291" s="351"/>
      <c r="GC291" s="351"/>
      <c r="GD291" s="351"/>
      <c r="GE291" s="351"/>
      <c r="GF291" s="351"/>
      <c r="GG291" s="351"/>
      <c r="GH291" s="351"/>
      <c r="GJ291" s="262"/>
    </row>
    <row r="292" spans="160:192" ht="14.4" customHeight="1" x14ac:dyDescent="0.3">
      <c r="FD292" s="397" t="s">
        <v>183</v>
      </c>
      <c r="FE292" s="399" t="str">
        <f t="shared" si="433"/>
        <v>Publicidad rotulos</v>
      </c>
      <c r="FF292" s="400">
        <v>0</v>
      </c>
      <c r="FG292" s="400">
        <v>0</v>
      </c>
      <c r="FH292" s="400">
        <v>0</v>
      </c>
      <c r="FI292" s="400">
        <v>0</v>
      </c>
      <c r="FJ292" s="400">
        <v>0</v>
      </c>
      <c r="FK292" s="400">
        <v>0</v>
      </c>
      <c r="FL292" s="400">
        <v>0</v>
      </c>
      <c r="FM292" s="400">
        <v>0</v>
      </c>
      <c r="FN292" s="400">
        <v>0</v>
      </c>
      <c r="FO292" s="400">
        <v>0</v>
      </c>
      <c r="FP292" s="400">
        <v>0</v>
      </c>
      <c r="FQ292" s="400">
        <v>0</v>
      </c>
      <c r="FR292" s="363">
        <f t="shared" si="434"/>
        <v>0</v>
      </c>
      <c r="FS292" s="364" t="e">
        <f t="shared" si="414"/>
        <v>#DIV/0!</v>
      </c>
      <c r="FT292" s="362"/>
      <c r="FX292" s="351"/>
      <c r="FY292" s="351"/>
      <c r="FZ292" s="351"/>
      <c r="GA292" s="351"/>
      <c r="GB292" s="351"/>
      <c r="GC292" s="351"/>
      <c r="GD292" s="351"/>
      <c r="GE292" s="351"/>
      <c r="GF292" s="351"/>
      <c r="GG292" s="351"/>
      <c r="GH292" s="351"/>
      <c r="GJ292" s="262"/>
    </row>
    <row r="293" spans="160:192" ht="14.4" customHeight="1" x14ac:dyDescent="0.3">
      <c r="FD293" s="397" t="s">
        <v>184</v>
      </c>
      <c r="FE293" s="399" t="str">
        <f t="shared" si="433"/>
        <v>Publicidad banners</v>
      </c>
      <c r="FF293" s="400">
        <v>0</v>
      </c>
      <c r="FG293" s="400">
        <v>0</v>
      </c>
      <c r="FH293" s="400">
        <v>0</v>
      </c>
      <c r="FI293" s="400">
        <v>0</v>
      </c>
      <c r="FJ293" s="400">
        <v>0</v>
      </c>
      <c r="FK293" s="400">
        <v>0</v>
      </c>
      <c r="FL293" s="400">
        <v>0</v>
      </c>
      <c r="FM293" s="400">
        <v>0</v>
      </c>
      <c r="FN293" s="400">
        <v>0</v>
      </c>
      <c r="FO293" s="400">
        <v>0</v>
      </c>
      <c r="FP293" s="400">
        <v>0</v>
      </c>
      <c r="FQ293" s="400">
        <v>0</v>
      </c>
      <c r="FR293" s="363">
        <f t="shared" si="434"/>
        <v>0</v>
      </c>
      <c r="FS293" s="364" t="e">
        <f t="shared" si="414"/>
        <v>#DIV/0!</v>
      </c>
      <c r="FT293" s="362"/>
      <c r="FX293" s="351"/>
      <c r="FY293" s="351"/>
      <c r="FZ293" s="351"/>
      <c r="GA293" s="351"/>
      <c r="GB293" s="351"/>
      <c r="GC293" s="351"/>
      <c r="GD293" s="351"/>
      <c r="GE293" s="351"/>
      <c r="GF293" s="351"/>
      <c r="GG293" s="351"/>
      <c r="GH293" s="351"/>
      <c r="GJ293" s="262"/>
    </row>
    <row r="294" spans="160:192" ht="14.4" customHeight="1" x14ac:dyDescent="0.3">
      <c r="FD294" s="397" t="s">
        <v>186</v>
      </c>
      <c r="FE294" s="399" t="str">
        <f t="shared" si="433"/>
        <v>Publicidad materiales de mercadeo</v>
      </c>
      <c r="FF294" s="400">
        <v>0</v>
      </c>
      <c r="FG294" s="400">
        <v>0</v>
      </c>
      <c r="FH294" s="400">
        <v>0</v>
      </c>
      <c r="FI294" s="400">
        <v>0</v>
      </c>
      <c r="FJ294" s="400">
        <v>0</v>
      </c>
      <c r="FK294" s="400">
        <v>0</v>
      </c>
      <c r="FL294" s="400">
        <v>0</v>
      </c>
      <c r="FM294" s="400">
        <v>0</v>
      </c>
      <c r="FN294" s="400">
        <v>0</v>
      </c>
      <c r="FO294" s="400">
        <v>0</v>
      </c>
      <c r="FP294" s="400">
        <v>0</v>
      </c>
      <c r="FQ294" s="400">
        <v>0</v>
      </c>
      <c r="FR294" s="363">
        <f t="shared" si="434"/>
        <v>0</v>
      </c>
      <c r="FS294" s="364" t="e">
        <f t="shared" si="414"/>
        <v>#DIV/0!</v>
      </c>
      <c r="FT294" s="362"/>
      <c r="FX294" s="351"/>
      <c r="FY294" s="351"/>
      <c r="FZ294" s="351"/>
      <c r="GA294" s="351"/>
      <c r="GB294" s="351"/>
      <c r="GC294" s="351"/>
      <c r="GD294" s="351"/>
      <c r="GE294" s="351"/>
      <c r="GF294" s="351"/>
      <c r="GG294" s="351"/>
      <c r="GH294" s="351"/>
      <c r="GJ294" s="262"/>
    </row>
    <row r="295" spans="160:192" ht="14.4" customHeight="1" x14ac:dyDescent="0.3">
      <c r="FD295" s="397" t="s">
        <v>188</v>
      </c>
      <c r="FE295" s="399" t="str">
        <f t="shared" si="433"/>
        <v>Publicidad WEB</v>
      </c>
      <c r="FF295" s="400">
        <v>0</v>
      </c>
      <c r="FG295" s="400">
        <v>0</v>
      </c>
      <c r="FH295" s="400">
        <v>0</v>
      </c>
      <c r="FI295" s="400">
        <v>0</v>
      </c>
      <c r="FJ295" s="400">
        <v>0</v>
      </c>
      <c r="FK295" s="400">
        <v>0</v>
      </c>
      <c r="FL295" s="400">
        <v>0</v>
      </c>
      <c r="FM295" s="400">
        <v>0</v>
      </c>
      <c r="FN295" s="400">
        <v>0</v>
      </c>
      <c r="FO295" s="400">
        <v>0</v>
      </c>
      <c r="FP295" s="400">
        <v>0</v>
      </c>
      <c r="FQ295" s="400">
        <v>0</v>
      </c>
      <c r="FR295" s="363">
        <f t="shared" si="434"/>
        <v>0</v>
      </c>
      <c r="FS295" s="364" t="e">
        <f t="shared" si="414"/>
        <v>#DIV/0!</v>
      </c>
      <c r="FT295" s="362"/>
      <c r="FX295" s="351"/>
      <c r="FY295" s="351"/>
      <c r="FZ295" s="351"/>
      <c r="GA295" s="351"/>
      <c r="GB295" s="351"/>
      <c r="GC295" s="351"/>
      <c r="GD295" s="351"/>
      <c r="GE295" s="351"/>
      <c r="GF295" s="351"/>
      <c r="GG295" s="351"/>
      <c r="GH295" s="351"/>
      <c r="GJ295" s="262"/>
    </row>
    <row r="296" spans="160:192" ht="14.4" customHeight="1" x14ac:dyDescent="0.3">
      <c r="FD296" s="397" t="s">
        <v>190</v>
      </c>
      <c r="FE296" s="399" t="str">
        <f t="shared" si="433"/>
        <v>Degustaciones</v>
      </c>
      <c r="FF296" s="400">
        <v>0</v>
      </c>
      <c r="FG296" s="400">
        <v>0</v>
      </c>
      <c r="FH296" s="400">
        <v>0</v>
      </c>
      <c r="FI296" s="400">
        <v>0</v>
      </c>
      <c r="FJ296" s="400">
        <v>0</v>
      </c>
      <c r="FK296" s="400">
        <v>0</v>
      </c>
      <c r="FL296" s="400">
        <v>0</v>
      </c>
      <c r="FM296" s="400">
        <v>0</v>
      </c>
      <c r="FN296" s="400">
        <v>0</v>
      </c>
      <c r="FO296" s="400">
        <v>0</v>
      </c>
      <c r="FP296" s="400">
        <v>0</v>
      </c>
      <c r="FQ296" s="400">
        <v>0</v>
      </c>
      <c r="FR296" s="363">
        <f t="shared" si="434"/>
        <v>0</v>
      </c>
      <c r="FS296" s="364" t="e">
        <f t="shared" si="414"/>
        <v>#DIV/0!</v>
      </c>
      <c r="FT296" s="362"/>
      <c r="FX296" s="351"/>
      <c r="FY296" s="351"/>
      <c r="FZ296" s="351"/>
      <c r="GA296" s="351"/>
      <c r="GB296" s="351"/>
      <c r="GC296" s="351"/>
      <c r="GD296" s="351"/>
      <c r="GE296" s="351"/>
      <c r="GF296" s="351"/>
      <c r="GG296" s="351"/>
      <c r="GH296" s="351"/>
      <c r="GJ296" s="262"/>
    </row>
    <row r="297" spans="160:192" ht="14.4" customHeight="1" x14ac:dyDescent="0.3">
      <c r="FD297" s="397" t="s">
        <v>191</v>
      </c>
      <c r="FE297" s="399" t="str">
        <f t="shared" si="433"/>
        <v>Atenciones y Eventos</v>
      </c>
      <c r="FF297" s="400">
        <v>0</v>
      </c>
      <c r="FG297" s="400">
        <v>0</v>
      </c>
      <c r="FH297" s="400">
        <v>0</v>
      </c>
      <c r="FI297" s="400">
        <v>0</v>
      </c>
      <c r="FJ297" s="400">
        <v>0</v>
      </c>
      <c r="FK297" s="400">
        <v>0</v>
      </c>
      <c r="FL297" s="400">
        <v>0</v>
      </c>
      <c r="FM297" s="400">
        <v>0</v>
      </c>
      <c r="FN297" s="400">
        <v>0</v>
      </c>
      <c r="FO297" s="400">
        <v>0</v>
      </c>
      <c r="FP297" s="400">
        <v>0</v>
      </c>
      <c r="FQ297" s="400">
        <v>0</v>
      </c>
      <c r="FR297" s="363">
        <f t="shared" si="434"/>
        <v>0</v>
      </c>
      <c r="FS297" s="364" t="e">
        <f t="shared" si="414"/>
        <v>#DIV/0!</v>
      </c>
      <c r="FT297" s="362"/>
      <c r="FX297" s="351"/>
      <c r="FY297" s="351"/>
      <c r="FZ297" s="351"/>
      <c r="GA297" s="351"/>
      <c r="GB297" s="351"/>
      <c r="GC297" s="351"/>
      <c r="GD297" s="351"/>
      <c r="GE297" s="351"/>
      <c r="GF297" s="351"/>
      <c r="GG297" s="351"/>
      <c r="GH297" s="351"/>
      <c r="GJ297" s="262"/>
    </row>
    <row r="298" spans="160:192" ht="14.4" customHeight="1" x14ac:dyDescent="0.3">
      <c r="FD298" s="397" t="s">
        <v>193</v>
      </c>
      <c r="FE298" s="399" t="str">
        <f t="shared" si="433"/>
        <v>Materiales Promocionales</v>
      </c>
      <c r="FF298" s="400">
        <v>0</v>
      </c>
      <c r="FG298" s="400">
        <v>0</v>
      </c>
      <c r="FH298" s="400">
        <v>0</v>
      </c>
      <c r="FI298" s="400">
        <v>0</v>
      </c>
      <c r="FJ298" s="400">
        <v>0</v>
      </c>
      <c r="FK298" s="400">
        <v>0</v>
      </c>
      <c r="FL298" s="400">
        <v>0</v>
      </c>
      <c r="FM298" s="400">
        <v>0</v>
      </c>
      <c r="FN298" s="400">
        <v>0</v>
      </c>
      <c r="FO298" s="400">
        <v>0</v>
      </c>
      <c r="FP298" s="400">
        <v>0</v>
      </c>
      <c r="FQ298" s="400">
        <v>0</v>
      </c>
      <c r="FR298" s="363">
        <f t="shared" si="434"/>
        <v>0</v>
      </c>
      <c r="FS298" s="364" t="e">
        <f t="shared" si="414"/>
        <v>#DIV/0!</v>
      </c>
      <c r="FT298" s="362"/>
    </row>
    <row r="299" spans="160:192" ht="14.4" customHeight="1" x14ac:dyDescent="0.3">
      <c r="FD299" s="429" t="s">
        <v>195</v>
      </c>
      <c r="FE299" s="399" t="str">
        <f t="shared" si="433"/>
        <v>Patrocinios</v>
      </c>
      <c r="FF299" s="400">
        <v>0</v>
      </c>
      <c r="FG299" s="400">
        <v>0</v>
      </c>
      <c r="FH299" s="400">
        <v>0</v>
      </c>
      <c r="FI299" s="400">
        <v>0</v>
      </c>
      <c r="FJ299" s="400">
        <v>0</v>
      </c>
      <c r="FK299" s="400">
        <v>0</v>
      </c>
      <c r="FL299" s="400">
        <v>0</v>
      </c>
      <c r="FM299" s="400">
        <v>0</v>
      </c>
      <c r="FN299" s="400">
        <v>0</v>
      </c>
      <c r="FO299" s="400">
        <v>0</v>
      </c>
      <c r="FP299" s="400">
        <v>0</v>
      </c>
      <c r="FQ299" s="400">
        <v>0</v>
      </c>
      <c r="FR299" s="363">
        <f t="shared" si="434"/>
        <v>0</v>
      </c>
      <c r="FS299" s="260" t="e">
        <f t="shared" ref="FS299" si="435">FR301/$FR$201</f>
        <v>#DIV/0!</v>
      </c>
      <c r="FT299" s="362"/>
    </row>
    <row r="300" spans="160:192" ht="14.4" customHeight="1" x14ac:dyDescent="0.3">
      <c r="FD300" s="397" t="s">
        <v>197</v>
      </c>
      <c r="FE300" s="399" t="str">
        <f t="shared" si="433"/>
        <v>Suscripciones</v>
      </c>
      <c r="FF300" s="400">
        <v>0</v>
      </c>
      <c r="FG300" s="400">
        <v>0</v>
      </c>
      <c r="FH300" s="400">
        <v>0</v>
      </c>
      <c r="FI300" s="400">
        <v>0</v>
      </c>
      <c r="FJ300" s="400">
        <v>0</v>
      </c>
      <c r="FK300" s="400">
        <v>0</v>
      </c>
      <c r="FL300" s="400">
        <v>0</v>
      </c>
      <c r="FM300" s="400">
        <v>0</v>
      </c>
      <c r="FN300" s="400">
        <v>0</v>
      </c>
      <c r="FO300" s="400">
        <v>0</v>
      </c>
      <c r="FP300" s="400">
        <v>0</v>
      </c>
      <c r="FQ300" s="400">
        <v>0</v>
      </c>
      <c r="FR300" s="363">
        <f t="shared" si="434"/>
        <v>0</v>
      </c>
      <c r="FS300" s="326">
        <v>0.01</v>
      </c>
      <c r="FT300" s="362"/>
    </row>
    <row r="301" spans="160:192" ht="14.4" customHeight="1" x14ac:dyDescent="0.3">
      <c r="FD301" s="397" t="s">
        <v>199</v>
      </c>
      <c r="FE301" s="357" t="s">
        <v>196</v>
      </c>
      <c r="FF301" s="325">
        <f>SUM(FF302:FF312)</f>
        <v>0</v>
      </c>
      <c r="FG301" s="325">
        <f t="shared" ref="FG301:FQ301" si="436">SUM(FG302:FG312)</f>
        <v>0</v>
      </c>
      <c r="FH301" s="325">
        <f t="shared" si="436"/>
        <v>0</v>
      </c>
      <c r="FI301" s="325">
        <f t="shared" si="436"/>
        <v>0</v>
      </c>
      <c r="FJ301" s="325">
        <f t="shared" si="436"/>
        <v>0</v>
      </c>
      <c r="FK301" s="325">
        <f t="shared" si="436"/>
        <v>0</v>
      </c>
      <c r="FL301" s="325">
        <f t="shared" si="436"/>
        <v>0</v>
      </c>
      <c r="FM301" s="325">
        <f t="shared" si="436"/>
        <v>0</v>
      </c>
      <c r="FN301" s="325">
        <f t="shared" si="436"/>
        <v>0</v>
      </c>
      <c r="FO301" s="325">
        <f t="shared" si="436"/>
        <v>0</v>
      </c>
      <c r="FP301" s="325">
        <f t="shared" si="436"/>
        <v>0</v>
      </c>
      <c r="FQ301" s="325">
        <f t="shared" si="436"/>
        <v>0</v>
      </c>
      <c r="FR301" s="309">
        <f>SUM(FF301:FQ301)</f>
        <v>0</v>
      </c>
      <c r="FS301" s="364" t="e">
        <f t="shared" ref="FS301:FS329" si="437">FR303/$FR$201</f>
        <v>#DIV/0!</v>
      </c>
      <c r="FT301" s="362"/>
    </row>
    <row r="302" spans="160:192" ht="14.4" customHeight="1" x14ac:dyDescent="0.3">
      <c r="FD302" s="397" t="s">
        <v>201</v>
      </c>
      <c r="FE302" s="399" t="str">
        <f t="shared" ref="FE302:FE312" si="438">FE127</f>
        <v>Impuesto municipal por ingresos IMI</v>
      </c>
      <c r="FF302" s="437">
        <f>FF203*$FS$300</f>
        <v>0</v>
      </c>
      <c r="FG302" s="437">
        <f t="shared" ref="FG302:FQ302" si="439">FG203*$FS$300</f>
        <v>0</v>
      </c>
      <c r="FH302" s="437">
        <f t="shared" si="439"/>
        <v>0</v>
      </c>
      <c r="FI302" s="437">
        <f t="shared" si="439"/>
        <v>0</v>
      </c>
      <c r="FJ302" s="437">
        <f t="shared" si="439"/>
        <v>0</v>
      </c>
      <c r="FK302" s="437">
        <f t="shared" si="439"/>
        <v>0</v>
      </c>
      <c r="FL302" s="437">
        <f t="shared" si="439"/>
        <v>0</v>
      </c>
      <c r="FM302" s="437">
        <f t="shared" si="439"/>
        <v>0</v>
      </c>
      <c r="FN302" s="437">
        <f t="shared" si="439"/>
        <v>0</v>
      </c>
      <c r="FO302" s="437">
        <f t="shared" si="439"/>
        <v>0</v>
      </c>
      <c r="FP302" s="437">
        <f t="shared" si="439"/>
        <v>0</v>
      </c>
      <c r="FQ302" s="437">
        <f t="shared" si="439"/>
        <v>0</v>
      </c>
      <c r="FR302" s="363">
        <f t="shared" ref="FR302:FR312" si="440">SUM(FF302:FQ302)</f>
        <v>0</v>
      </c>
      <c r="FS302" s="364" t="e">
        <f t="shared" si="437"/>
        <v>#DIV/0!</v>
      </c>
      <c r="FT302" s="362"/>
    </row>
    <row r="303" spans="160:192" ht="14.4" customHeight="1" x14ac:dyDescent="0.3">
      <c r="FD303" s="397" t="s">
        <v>203</v>
      </c>
      <c r="FE303" s="399" t="str">
        <f t="shared" si="438"/>
        <v>Matricula por registros contables</v>
      </c>
      <c r="FF303" s="400">
        <v>0</v>
      </c>
      <c r="FG303" s="400">
        <v>0</v>
      </c>
      <c r="FH303" s="400">
        <v>0</v>
      </c>
      <c r="FI303" s="400">
        <v>0</v>
      </c>
      <c r="FJ303" s="400">
        <v>0</v>
      </c>
      <c r="FK303" s="400">
        <v>0</v>
      </c>
      <c r="FL303" s="400">
        <v>0</v>
      </c>
      <c r="FM303" s="400">
        <v>0</v>
      </c>
      <c r="FN303" s="400">
        <v>0</v>
      </c>
      <c r="FO303" s="400">
        <v>0</v>
      </c>
      <c r="FP303" s="400">
        <v>0</v>
      </c>
      <c r="FQ303" s="400">
        <v>0</v>
      </c>
      <c r="FR303" s="363">
        <f t="shared" si="440"/>
        <v>0</v>
      </c>
      <c r="FS303" s="364" t="e">
        <f t="shared" si="437"/>
        <v>#DIV/0!</v>
      </c>
      <c r="FT303" s="362"/>
    </row>
    <row r="304" spans="160:192" ht="14.4" customHeight="1" x14ac:dyDescent="0.3">
      <c r="FD304" s="397" t="s">
        <v>204</v>
      </c>
      <c r="FE304" s="399" t="str">
        <f t="shared" si="438"/>
        <v>Timbres fiscales</v>
      </c>
      <c r="FF304" s="400">
        <v>0</v>
      </c>
      <c r="FG304" s="400">
        <v>0</v>
      </c>
      <c r="FH304" s="400">
        <v>0</v>
      </c>
      <c r="FI304" s="400">
        <v>0</v>
      </c>
      <c r="FJ304" s="400">
        <v>0</v>
      </c>
      <c r="FK304" s="400">
        <v>0</v>
      </c>
      <c r="FL304" s="400">
        <v>0</v>
      </c>
      <c r="FM304" s="400">
        <v>0</v>
      </c>
      <c r="FN304" s="400">
        <v>0</v>
      </c>
      <c r="FO304" s="400">
        <v>0</v>
      </c>
      <c r="FP304" s="400">
        <v>0</v>
      </c>
      <c r="FQ304" s="400">
        <v>0</v>
      </c>
      <c r="FR304" s="363">
        <f t="shared" si="440"/>
        <v>0</v>
      </c>
      <c r="FS304" s="364" t="e">
        <f t="shared" si="437"/>
        <v>#DIV/0!</v>
      </c>
      <c r="FT304" s="362"/>
    </row>
    <row r="305" spans="160:176" ht="14.4" customHeight="1" x14ac:dyDescent="0.3">
      <c r="FD305" s="397" t="s">
        <v>206</v>
      </c>
      <c r="FE305" s="399" t="str">
        <f t="shared" si="438"/>
        <v>Gasto Financeros (EHI)</v>
      </c>
      <c r="FF305" s="400">
        <v>0</v>
      </c>
      <c r="FG305" s="400">
        <v>0</v>
      </c>
      <c r="FH305" s="400">
        <v>0</v>
      </c>
      <c r="FI305" s="400">
        <v>0</v>
      </c>
      <c r="FJ305" s="400">
        <v>0</v>
      </c>
      <c r="FK305" s="400">
        <v>0</v>
      </c>
      <c r="FL305" s="400">
        <v>0</v>
      </c>
      <c r="FM305" s="400">
        <v>0</v>
      </c>
      <c r="FN305" s="400">
        <v>0</v>
      </c>
      <c r="FO305" s="400">
        <v>0</v>
      </c>
      <c r="FP305" s="400">
        <v>0</v>
      </c>
      <c r="FQ305" s="400">
        <v>0</v>
      </c>
      <c r="FR305" s="363"/>
      <c r="FS305" s="364" t="e">
        <f t="shared" si="437"/>
        <v>#DIV/0!</v>
      </c>
      <c r="FT305" s="362"/>
    </row>
    <row r="306" spans="160:176" ht="14.4" customHeight="1" x14ac:dyDescent="0.3">
      <c r="FD306" s="397" t="s">
        <v>208</v>
      </c>
      <c r="FE306" s="399" t="str">
        <f t="shared" si="438"/>
        <v>Solvencias</v>
      </c>
      <c r="FF306" s="400">
        <v>0</v>
      </c>
      <c r="FG306" s="400">
        <v>0</v>
      </c>
      <c r="FH306" s="400">
        <v>0</v>
      </c>
      <c r="FI306" s="400">
        <v>0</v>
      </c>
      <c r="FJ306" s="400">
        <v>0</v>
      </c>
      <c r="FK306" s="400">
        <v>0</v>
      </c>
      <c r="FL306" s="400">
        <v>0</v>
      </c>
      <c r="FM306" s="400">
        <v>0</v>
      </c>
      <c r="FN306" s="400">
        <v>0</v>
      </c>
      <c r="FO306" s="400">
        <v>0</v>
      </c>
      <c r="FP306" s="400">
        <v>0</v>
      </c>
      <c r="FQ306" s="400">
        <v>0</v>
      </c>
      <c r="FR306" s="363">
        <f t="shared" si="440"/>
        <v>0</v>
      </c>
      <c r="FS306" s="364" t="e">
        <f t="shared" si="437"/>
        <v>#DIV/0!</v>
      </c>
      <c r="FT306" s="362"/>
    </row>
    <row r="307" spans="160:176" ht="14.4" customHeight="1" x14ac:dyDescent="0.3">
      <c r="FD307" s="397" t="s">
        <v>210</v>
      </c>
      <c r="FE307" s="399" t="str">
        <f t="shared" si="438"/>
        <v>Servicios fitosanitarios</v>
      </c>
      <c r="FF307" s="400">
        <v>0</v>
      </c>
      <c r="FG307" s="400">
        <v>0</v>
      </c>
      <c r="FH307" s="400">
        <v>0</v>
      </c>
      <c r="FI307" s="400">
        <v>0</v>
      </c>
      <c r="FJ307" s="400">
        <v>0</v>
      </c>
      <c r="FK307" s="400">
        <v>0</v>
      </c>
      <c r="FL307" s="400">
        <v>0</v>
      </c>
      <c r="FM307" s="400">
        <v>0</v>
      </c>
      <c r="FN307" s="400">
        <v>0</v>
      </c>
      <c r="FO307" s="400">
        <v>0</v>
      </c>
      <c r="FP307" s="400">
        <v>0</v>
      </c>
      <c r="FQ307" s="400">
        <v>0</v>
      </c>
      <c r="FR307" s="363">
        <f t="shared" si="440"/>
        <v>0</v>
      </c>
      <c r="FS307" s="364" t="e">
        <f t="shared" si="437"/>
        <v>#DIV/0!</v>
      </c>
      <c r="FT307" s="362"/>
    </row>
    <row r="308" spans="160:176" ht="14.4" customHeight="1" x14ac:dyDescent="0.3">
      <c r="FD308" s="397" t="s">
        <v>211</v>
      </c>
      <c r="FE308" s="399" t="str">
        <f t="shared" si="438"/>
        <v>Derecho de inspeccion</v>
      </c>
      <c r="FF308" s="400">
        <v>0</v>
      </c>
      <c r="FG308" s="400">
        <v>0</v>
      </c>
      <c r="FH308" s="400">
        <v>0</v>
      </c>
      <c r="FI308" s="400">
        <v>0</v>
      </c>
      <c r="FJ308" s="400">
        <v>0</v>
      </c>
      <c r="FK308" s="400">
        <v>0</v>
      </c>
      <c r="FL308" s="400">
        <v>0</v>
      </c>
      <c r="FM308" s="400">
        <v>0</v>
      </c>
      <c r="FN308" s="400">
        <v>0</v>
      </c>
      <c r="FO308" s="400">
        <v>0</v>
      </c>
      <c r="FP308" s="400">
        <v>0</v>
      </c>
      <c r="FQ308" s="400">
        <v>0</v>
      </c>
      <c r="FR308" s="363">
        <f t="shared" si="440"/>
        <v>0</v>
      </c>
      <c r="FS308" s="364" t="e">
        <f t="shared" si="437"/>
        <v>#DIV/0!</v>
      </c>
      <c r="FT308" s="362"/>
    </row>
    <row r="309" spans="160:176" ht="14.4" customHeight="1" x14ac:dyDescent="0.3">
      <c r="FD309" s="397" t="s">
        <v>213</v>
      </c>
      <c r="FE309" s="399" t="str">
        <f t="shared" si="438"/>
        <v>Membresias (regalías 8.5%) EHI</v>
      </c>
      <c r="FF309" s="400">
        <v>0</v>
      </c>
      <c r="FG309" s="400">
        <v>0</v>
      </c>
      <c r="FH309" s="400">
        <v>0</v>
      </c>
      <c r="FI309" s="400">
        <v>0</v>
      </c>
      <c r="FJ309" s="400">
        <v>0</v>
      </c>
      <c r="FK309" s="400">
        <v>0</v>
      </c>
      <c r="FL309" s="400">
        <v>0</v>
      </c>
      <c r="FM309" s="400">
        <v>0</v>
      </c>
      <c r="FN309" s="400">
        <v>0</v>
      </c>
      <c r="FO309" s="400">
        <v>0</v>
      </c>
      <c r="FP309" s="400">
        <v>0</v>
      </c>
      <c r="FQ309" s="400">
        <v>0</v>
      </c>
      <c r="FR309" s="363"/>
      <c r="FS309" s="364" t="e">
        <f t="shared" si="437"/>
        <v>#DIV/0!</v>
      </c>
      <c r="FT309" s="362"/>
    </row>
    <row r="310" spans="160:176" ht="14.4" customHeight="1" x14ac:dyDescent="0.3">
      <c r="FD310" s="397" t="s">
        <v>215</v>
      </c>
      <c r="FE310" s="399" t="str">
        <f t="shared" si="438"/>
        <v>Comision afiliacion T.Credito</v>
      </c>
      <c r="FF310" s="437">
        <f>(FF203*$FT$310)*$FS$310</f>
        <v>0</v>
      </c>
      <c r="FG310" s="437">
        <f t="shared" ref="FG310:FQ310" si="441">(FG203*$FT$310)*$FS$310</f>
        <v>0</v>
      </c>
      <c r="FH310" s="437">
        <f t="shared" si="441"/>
        <v>0</v>
      </c>
      <c r="FI310" s="437">
        <f t="shared" si="441"/>
        <v>0</v>
      </c>
      <c r="FJ310" s="437">
        <f t="shared" si="441"/>
        <v>0</v>
      </c>
      <c r="FK310" s="437">
        <f t="shared" si="441"/>
        <v>0</v>
      </c>
      <c r="FL310" s="437">
        <f t="shared" si="441"/>
        <v>0</v>
      </c>
      <c r="FM310" s="437">
        <f t="shared" si="441"/>
        <v>0</v>
      </c>
      <c r="FN310" s="437">
        <f t="shared" si="441"/>
        <v>0</v>
      </c>
      <c r="FO310" s="437">
        <f t="shared" si="441"/>
        <v>0</v>
      </c>
      <c r="FP310" s="437">
        <f t="shared" si="441"/>
        <v>0</v>
      </c>
      <c r="FQ310" s="437">
        <f t="shared" si="441"/>
        <v>0</v>
      </c>
      <c r="FR310" s="363">
        <f t="shared" si="440"/>
        <v>0</v>
      </c>
      <c r="FS310" s="466">
        <v>2.5000000000000001E-2</v>
      </c>
      <c r="FT310" s="466">
        <v>0.65</v>
      </c>
    </row>
    <row r="311" spans="160:176" ht="14.4" customHeight="1" x14ac:dyDescent="0.3">
      <c r="FD311" s="429" t="s">
        <v>217</v>
      </c>
      <c r="FE311" s="399" t="str">
        <f t="shared" si="438"/>
        <v>Licencias</v>
      </c>
      <c r="FF311" s="400">
        <v>0</v>
      </c>
      <c r="FG311" s="400">
        <v>0</v>
      </c>
      <c r="FH311" s="400">
        <v>0</v>
      </c>
      <c r="FI311" s="400">
        <v>0</v>
      </c>
      <c r="FJ311" s="400">
        <v>0</v>
      </c>
      <c r="FK311" s="400">
        <v>0</v>
      </c>
      <c r="FL311" s="400">
        <v>0</v>
      </c>
      <c r="FM311" s="400">
        <v>0</v>
      </c>
      <c r="FN311" s="400">
        <v>0</v>
      </c>
      <c r="FO311" s="400">
        <v>0</v>
      </c>
      <c r="FP311" s="400">
        <v>0</v>
      </c>
      <c r="FQ311" s="400">
        <v>0</v>
      </c>
      <c r="FR311" s="363">
        <f t="shared" si="440"/>
        <v>0</v>
      </c>
      <c r="FS311" s="260" t="e">
        <f t="shared" si="437"/>
        <v>#DIV/0!</v>
      </c>
      <c r="FT311" s="362"/>
    </row>
    <row r="312" spans="160:176" ht="14.4" customHeight="1" x14ac:dyDescent="0.3">
      <c r="FD312" s="397" t="s">
        <v>219</v>
      </c>
      <c r="FE312" s="399" t="str">
        <f t="shared" si="438"/>
        <v>Otras tasas e impuestos</v>
      </c>
      <c r="FF312" s="400">
        <v>0</v>
      </c>
      <c r="FG312" s="400">
        <v>0</v>
      </c>
      <c r="FH312" s="400">
        <v>0</v>
      </c>
      <c r="FI312" s="400">
        <v>0</v>
      </c>
      <c r="FJ312" s="400">
        <v>0</v>
      </c>
      <c r="FK312" s="400">
        <v>0</v>
      </c>
      <c r="FL312" s="400">
        <v>0</v>
      </c>
      <c r="FM312" s="400">
        <v>0</v>
      </c>
      <c r="FN312" s="400">
        <v>0</v>
      </c>
      <c r="FO312" s="400">
        <v>0</v>
      </c>
      <c r="FP312" s="400">
        <v>0</v>
      </c>
      <c r="FQ312" s="400">
        <v>0</v>
      </c>
      <c r="FR312" s="363">
        <f t="shared" si="440"/>
        <v>0</v>
      </c>
      <c r="FS312" s="364" t="e">
        <f t="shared" si="437"/>
        <v>#DIV/0!</v>
      </c>
      <c r="FT312" s="362"/>
    </row>
    <row r="313" spans="160:176" ht="14.4" customHeight="1" x14ac:dyDescent="0.3">
      <c r="FD313" s="397" t="s">
        <v>221</v>
      </c>
      <c r="FE313" s="357" t="s">
        <v>218</v>
      </c>
      <c r="FF313" s="325">
        <f>SUM(FF314:FF318)</f>
        <v>0</v>
      </c>
      <c r="FG313" s="325">
        <f t="shared" ref="FG313:FQ313" si="442">SUM(FG314:FG318)</f>
        <v>0</v>
      </c>
      <c r="FH313" s="325">
        <f t="shared" si="442"/>
        <v>0</v>
      </c>
      <c r="FI313" s="325">
        <f t="shared" si="442"/>
        <v>0</v>
      </c>
      <c r="FJ313" s="325">
        <f t="shared" si="442"/>
        <v>0</v>
      </c>
      <c r="FK313" s="325">
        <f t="shared" si="442"/>
        <v>0</v>
      </c>
      <c r="FL313" s="325">
        <f t="shared" si="442"/>
        <v>0</v>
      </c>
      <c r="FM313" s="325">
        <f t="shared" si="442"/>
        <v>0</v>
      </c>
      <c r="FN313" s="325">
        <f t="shared" si="442"/>
        <v>0</v>
      </c>
      <c r="FO313" s="325">
        <f t="shared" si="442"/>
        <v>0</v>
      </c>
      <c r="FP313" s="325">
        <f t="shared" si="442"/>
        <v>0</v>
      </c>
      <c r="FQ313" s="325">
        <f t="shared" si="442"/>
        <v>0</v>
      </c>
      <c r="FR313" s="309">
        <f>SUM(FF313:FQ313)</f>
        <v>0</v>
      </c>
      <c r="FS313" s="364" t="e">
        <f t="shared" si="437"/>
        <v>#DIV/0!</v>
      </c>
      <c r="FT313" s="362"/>
    </row>
    <row r="314" spans="160:176" ht="14.4" customHeight="1" x14ac:dyDescent="0.3">
      <c r="FD314" s="397" t="s">
        <v>223</v>
      </c>
      <c r="FE314" s="399" t="str">
        <f t="shared" ref="FE314:FE318" si="443">FE139</f>
        <v>Servicio de vigilancia</v>
      </c>
      <c r="FF314" s="400">
        <v>0</v>
      </c>
      <c r="FG314" s="400">
        <v>0</v>
      </c>
      <c r="FH314" s="400">
        <v>0</v>
      </c>
      <c r="FI314" s="400">
        <v>0</v>
      </c>
      <c r="FJ314" s="400">
        <v>0</v>
      </c>
      <c r="FK314" s="400">
        <v>0</v>
      </c>
      <c r="FL314" s="400">
        <v>0</v>
      </c>
      <c r="FM314" s="400">
        <v>0</v>
      </c>
      <c r="FN314" s="400">
        <v>0</v>
      </c>
      <c r="FO314" s="400">
        <v>0</v>
      </c>
      <c r="FP314" s="400">
        <v>0</v>
      </c>
      <c r="FQ314" s="400">
        <v>0</v>
      </c>
      <c r="FR314" s="363">
        <f t="shared" ref="FR314:FR318" si="444">SUM(FF314:FQ314)</f>
        <v>0</v>
      </c>
      <c r="FS314" s="364" t="e">
        <f t="shared" si="437"/>
        <v>#DIV/0!</v>
      </c>
      <c r="FT314" s="362"/>
    </row>
    <row r="315" spans="160:176" ht="14.4" customHeight="1" x14ac:dyDescent="0.3">
      <c r="FD315" s="397" t="s">
        <v>225</v>
      </c>
      <c r="FE315" s="399" t="str">
        <f t="shared" si="443"/>
        <v>Equipos de proteccion</v>
      </c>
      <c r="FF315" s="400">
        <v>0</v>
      </c>
      <c r="FG315" s="400">
        <v>0</v>
      </c>
      <c r="FH315" s="400">
        <v>0</v>
      </c>
      <c r="FI315" s="400">
        <v>0</v>
      </c>
      <c r="FJ315" s="400">
        <v>0</v>
      </c>
      <c r="FK315" s="400">
        <v>0</v>
      </c>
      <c r="FL315" s="400">
        <v>0</v>
      </c>
      <c r="FM315" s="400">
        <v>0</v>
      </c>
      <c r="FN315" s="400">
        <v>0</v>
      </c>
      <c r="FO315" s="400">
        <v>0</v>
      </c>
      <c r="FP315" s="400">
        <v>0</v>
      </c>
      <c r="FQ315" s="400">
        <v>0</v>
      </c>
      <c r="FR315" s="363">
        <f t="shared" si="444"/>
        <v>0</v>
      </c>
      <c r="FS315" s="364" t="e">
        <f t="shared" si="437"/>
        <v>#DIV/0!</v>
      </c>
      <c r="FT315" s="362"/>
    </row>
    <row r="316" spans="160:176" ht="14.4" customHeight="1" x14ac:dyDescent="0.3">
      <c r="FD316" s="397" t="s">
        <v>227</v>
      </c>
      <c r="FE316" s="399" t="str">
        <f t="shared" si="443"/>
        <v>Control de plagas</v>
      </c>
      <c r="FF316" s="400">
        <v>0</v>
      </c>
      <c r="FG316" s="400">
        <v>0</v>
      </c>
      <c r="FH316" s="400">
        <v>0</v>
      </c>
      <c r="FI316" s="400">
        <v>0</v>
      </c>
      <c r="FJ316" s="400">
        <v>0</v>
      </c>
      <c r="FK316" s="400">
        <v>0</v>
      </c>
      <c r="FL316" s="400">
        <v>0</v>
      </c>
      <c r="FM316" s="400">
        <v>0</v>
      </c>
      <c r="FN316" s="400">
        <v>0</v>
      </c>
      <c r="FO316" s="400">
        <v>0</v>
      </c>
      <c r="FP316" s="400">
        <v>0</v>
      </c>
      <c r="FQ316" s="400">
        <v>0</v>
      </c>
      <c r="FR316" s="363">
        <f t="shared" si="444"/>
        <v>0</v>
      </c>
      <c r="FS316" s="364" t="e">
        <f t="shared" si="437"/>
        <v>#DIV/0!</v>
      </c>
      <c r="FT316" s="362"/>
    </row>
    <row r="317" spans="160:176" ht="14.4" customHeight="1" x14ac:dyDescent="0.3">
      <c r="FD317" s="429" t="s">
        <v>229</v>
      </c>
      <c r="FE317" s="399" t="str">
        <f t="shared" si="443"/>
        <v>Extintores</v>
      </c>
      <c r="FF317" s="400">
        <v>0</v>
      </c>
      <c r="FG317" s="400">
        <v>0</v>
      </c>
      <c r="FH317" s="400">
        <v>0</v>
      </c>
      <c r="FI317" s="400">
        <v>0</v>
      </c>
      <c r="FJ317" s="400">
        <v>0</v>
      </c>
      <c r="FK317" s="400">
        <v>0</v>
      </c>
      <c r="FL317" s="400">
        <v>0</v>
      </c>
      <c r="FM317" s="400">
        <v>0</v>
      </c>
      <c r="FN317" s="400">
        <v>0</v>
      </c>
      <c r="FO317" s="400">
        <v>0</v>
      </c>
      <c r="FP317" s="400">
        <v>0</v>
      </c>
      <c r="FQ317" s="400">
        <v>0</v>
      </c>
      <c r="FR317" s="363">
        <f t="shared" si="444"/>
        <v>0</v>
      </c>
      <c r="FS317" s="260" t="e">
        <f t="shared" si="437"/>
        <v>#DIV/0!</v>
      </c>
      <c r="FT317" s="362"/>
    </row>
    <row r="318" spans="160:176" ht="14.4" customHeight="1" x14ac:dyDescent="0.3">
      <c r="FD318" s="397" t="s">
        <v>231</v>
      </c>
      <c r="FE318" s="399" t="str">
        <f t="shared" si="443"/>
        <v>Mantt. Extintores</v>
      </c>
      <c r="FF318" s="400">
        <v>0</v>
      </c>
      <c r="FG318" s="400">
        <v>0</v>
      </c>
      <c r="FH318" s="400">
        <v>0</v>
      </c>
      <c r="FI318" s="400">
        <v>0</v>
      </c>
      <c r="FJ318" s="400">
        <v>0</v>
      </c>
      <c r="FK318" s="400">
        <v>0</v>
      </c>
      <c r="FL318" s="400">
        <v>0</v>
      </c>
      <c r="FM318" s="400">
        <v>0</v>
      </c>
      <c r="FN318" s="400">
        <v>0</v>
      </c>
      <c r="FO318" s="400">
        <v>0</v>
      </c>
      <c r="FP318" s="400">
        <v>0</v>
      </c>
      <c r="FQ318" s="400">
        <v>0</v>
      </c>
      <c r="FR318" s="363">
        <f t="shared" si="444"/>
        <v>0</v>
      </c>
      <c r="FS318" s="364" t="e">
        <f t="shared" si="437"/>
        <v>#DIV/0!</v>
      </c>
      <c r="FT318" s="362"/>
    </row>
    <row r="319" spans="160:176" ht="14.4" customHeight="1" x14ac:dyDescent="0.3">
      <c r="FD319" s="397" t="s">
        <v>233</v>
      </c>
      <c r="FE319" s="357" t="s">
        <v>230</v>
      </c>
      <c r="FF319" s="325">
        <f>SUM(FF320:FF321)</f>
        <v>0</v>
      </c>
      <c r="FG319" s="325">
        <f t="shared" ref="FG319:FQ319" si="445">SUM(FG320:FG321)</f>
        <v>0</v>
      </c>
      <c r="FH319" s="325">
        <f t="shared" si="445"/>
        <v>0</v>
      </c>
      <c r="FI319" s="325">
        <f t="shared" si="445"/>
        <v>0</v>
      </c>
      <c r="FJ319" s="325">
        <f t="shared" si="445"/>
        <v>0</v>
      </c>
      <c r="FK319" s="325">
        <f t="shared" si="445"/>
        <v>0</v>
      </c>
      <c r="FL319" s="325">
        <f t="shared" si="445"/>
        <v>0</v>
      </c>
      <c r="FM319" s="325">
        <f t="shared" si="445"/>
        <v>0</v>
      </c>
      <c r="FN319" s="325">
        <f t="shared" si="445"/>
        <v>0</v>
      </c>
      <c r="FO319" s="325">
        <f t="shared" si="445"/>
        <v>0</v>
      </c>
      <c r="FP319" s="325">
        <f t="shared" si="445"/>
        <v>0</v>
      </c>
      <c r="FQ319" s="325">
        <f t="shared" si="445"/>
        <v>0</v>
      </c>
      <c r="FR319" s="309">
        <f>SUM(FF319:FQ319)</f>
        <v>0</v>
      </c>
      <c r="FS319" s="364" t="e">
        <f t="shared" si="437"/>
        <v>#DIV/0!</v>
      </c>
      <c r="FT319" s="362"/>
    </row>
    <row r="320" spans="160:176" ht="14.4" customHeight="1" x14ac:dyDescent="0.3">
      <c r="FD320" s="429" t="s">
        <v>235</v>
      </c>
      <c r="FE320" s="399" t="str">
        <f t="shared" ref="FE320:FE321" si="446">FE145</f>
        <v>Estimacion cuentas incobrables</v>
      </c>
      <c r="FF320" s="400">
        <v>0</v>
      </c>
      <c r="FG320" s="400">
        <v>0</v>
      </c>
      <c r="FH320" s="400">
        <v>0</v>
      </c>
      <c r="FI320" s="400">
        <v>0</v>
      </c>
      <c r="FJ320" s="400">
        <v>0</v>
      </c>
      <c r="FK320" s="400">
        <v>0</v>
      </c>
      <c r="FL320" s="400">
        <v>0</v>
      </c>
      <c r="FM320" s="400">
        <v>0</v>
      </c>
      <c r="FN320" s="400">
        <v>0</v>
      </c>
      <c r="FO320" s="400">
        <v>0</v>
      </c>
      <c r="FP320" s="400">
        <v>0</v>
      </c>
      <c r="FQ320" s="400">
        <v>0</v>
      </c>
      <c r="FR320" s="363">
        <f t="shared" ref="FR320:FR321" si="447">SUM(FF320:FQ320)</f>
        <v>0</v>
      </c>
      <c r="FS320" s="260" t="e">
        <f t="shared" si="437"/>
        <v>#DIV/0!</v>
      </c>
      <c r="FT320" s="362"/>
    </row>
    <row r="321" spans="160:194" ht="14.4" customHeight="1" x14ac:dyDescent="0.3">
      <c r="FD321" s="397" t="s">
        <v>237</v>
      </c>
      <c r="FE321" s="399" t="str">
        <f t="shared" si="446"/>
        <v>Reserva obsolescencia inventario</v>
      </c>
      <c r="FF321" s="400">
        <v>0</v>
      </c>
      <c r="FG321" s="400">
        <v>0</v>
      </c>
      <c r="FH321" s="400">
        <v>0</v>
      </c>
      <c r="FI321" s="400">
        <v>0</v>
      </c>
      <c r="FJ321" s="400">
        <v>0</v>
      </c>
      <c r="FK321" s="400">
        <v>0</v>
      </c>
      <c r="FL321" s="400">
        <v>0</v>
      </c>
      <c r="FM321" s="400">
        <v>0</v>
      </c>
      <c r="FN321" s="400">
        <v>0</v>
      </c>
      <c r="FO321" s="400">
        <v>0</v>
      </c>
      <c r="FP321" s="400">
        <v>0</v>
      </c>
      <c r="FQ321" s="400">
        <v>0</v>
      </c>
      <c r="FR321" s="363">
        <f t="shared" si="447"/>
        <v>0</v>
      </c>
      <c r="FS321" s="364" t="e">
        <f t="shared" si="437"/>
        <v>#DIV/0!</v>
      </c>
      <c r="FT321" s="362"/>
    </row>
    <row r="322" spans="160:194" ht="14.4" customHeight="1" x14ac:dyDescent="0.3">
      <c r="FD322" s="397" t="s">
        <v>239</v>
      </c>
      <c r="FE322" s="357" t="s">
        <v>236</v>
      </c>
      <c r="FF322" s="325">
        <f>SUM(FF323:FF329)</f>
        <v>0</v>
      </c>
      <c r="FG322" s="325">
        <f t="shared" ref="FG322:FQ322" si="448">SUM(FG323:FG329)</f>
        <v>0</v>
      </c>
      <c r="FH322" s="325">
        <f t="shared" si="448"/>
        <v>0</v>
      </c>
      <c r="FI322" s="325">
        <f t="shared" si="448"/>
        <v>0</v>
      </c>
      <c r="FJ322" s="325">
        <f t="shared" si="448"/>
        <v>0</v>
      </c>
      <c r="FK322" s="325">
        <f t="shared" si="448"/>
        <v>0</v>
      </c>
      <c r="FL322" s="325">
        <f t="shared" si="448"/>
        <v>0</v>
      </c>
      <c r="FM322" s="325">
        <f t="shared" si="448"/>
        <v>0</v>
      </c>
      <c r="FN322" s="325">
        <f t="shared" si="448"/>
        <v>0</v>
      </c>
      <c r="FO322" s="325">
        <f t="shared" si="448"/>
        <v>0</v>
      </c>
      <c r="FP322" s="325">
        <f t="shared" si="448"/>
        <v>0</v>
      </c>
      <c r="FQ322" s="325">
        <f t="shared" si="448"/>
        <v>0</v>
      </c>
      <c r="FR322" s="309">
        <f>SUM(FF322:FQ322)</f>
        <v>0</v>
      </c>
      <c r="FS322" s="364" t="e">
        <f t="shared" si="437"/>
        <v>#DIV/0!</v>
      </c>
      <c r="FT322" s="362"/>
    </row>
    <row r="323" spans="160:194" ht="14.4" customHeight="1" x14ac:dyDescent="0.3">
      <c r="FD323" s="397" t="s">
        <v>241</v>
      </c>
      <c r="FE323" s="399" t="str">
        <f t="shared" ref="FE323:FE329" si="449">FE148</f>
        <v>Cuenta Registro Servic. Agente aduanero</v>
      </c>
      <c r="FF323" s="400">
        <v>0</v>
      </c>
      <c r="FG323" s="400">
        <v>0</v>
      </c>
      <c r="FH323" s="400">
        <v>0</v>
      </c>
      <c r="FI323" s="400">
        <v>0</v>
      </c>
      <c r="FJ323" s="400">
        <v>0</v>
      </c>
      <c r="FK323" s="400">
        <v>0</v>
      </c>
      <c r="FL323" s="400">
        <v>0</v>
      </c>
      <c r="FM323" s="400">
        <v>0</v>
      </c>
      <c r="FN323" s="400">
        <v>0</v>
      </c>
      <c r="FO323" s="400">
        <v>0</v>
      </c>
      <c r="FP323" s="400">
        <v>0</v>
      </c>
      <c r="FQ323" s="400">
        <v>0</v>
      </c>
      <c r="FR323" s="363">
        <f t="shared" ref="FR323:FR339" si="450">SUM(FF323:FQ323)</f>
        <v>0</v>
      </c>
      <c r="FS323" s="364" t="e">
        <f t="shared" si="437"/>
        <v>#DIV/0!</v>
      </c>
      <c r="FT323" s="362"/>
    </row>
    <row r="324" spans="160:194" ht="14.4" customHeight="1" x14ac:dyDescent="0.3">
      <c r="FD324" s="397" t="s">
        <v>243</v>
      </c>
      <c r="FE324" s="399" t="str">
        <f t="shared" si="449"/>
        <v>Fletes y acarreos</v>
      </c>
      <c r="FF324" s="400">
        <v>0</v>
      </c>
      <c r="FG324" s="400">
        <v>0</v>
      </c>
      <c r="FH324" s="400">
        <v>0</v>
      </c>
      <c r="FI324" s="400">
        <v>0</v>
      </c>
      <c r="FJ324" s="400">
        <v>0</v>
      </c>
      <c r="FK324" s="400">
        <v>0</v>
      </c>
      <c r="FL324" s="400">
        <v>0</v>
      </c>
      <c r="FM324" s="400">
        <v>0</v>
      </c>
      <c r="FN324" s="400">
        <v>0</v>
      </c>
      <c r="FO324" s="400">
        <v>0</v>
      </c>
      <c r="FP324" s="400">
        <v>0</v>
      </c>
      <c r="FQ324" s="400">
        <v>0</v>
      </c>
      <c r="FR324" s="363">
        <f t="shared" si="450"/>
        <v>0</v>
      </c>
      <c r="FS324" s="364" t="e">
        <f t="shared" si="437"/>
        <v>#DIV/0!</v>
      </c>
      <c r="FT324" s="362"/>
    </row>
    <row r="325" spans="160:194" ht="14.4" customHeight="1" x14ac:dyDescent="0.3">
      <c r="FD325" s="397" t="s">
        <v>244</v>
      </c>
      <c r="FE325" s="399" t="str">
        <f t="shared" si="449"/>
        <v>Servicios de Guias</v>
      </c>
      <c r="FF325" s="400">
        <v>0</v>
      </c>
      <c r="FG325" s="400">
        <v>0</v>
      </c>
      <c r="FH325" s="400">
        <v>0</v>
      </c>
      <c r="FI325" s="400">
        <v>0</v>
      </c>
      <c r="FJ325" s="400">
        <v>0</v>
      </c>
      <c r="FK325" s="400">
        <v>0</v>
      </c>
      <c r="FL325" s="400">
        <v>0</v>
      </c>
      <c r="FM325" s="400">
        <v>0</v>
      </c>
      <c r="FN325" s="400">
        <v>0</v>
      </c>
      <c r="FO325" s="400">
        <v>0</v>
      </c>
      <c r="FP325" s="400">
        <v>0</v>
      </c>
      <c r="FQ325" s="400">
        <v>0</v>
      </c>
      <c r="FR325" s="363">
        <f t="shared" si="450"/>
        <v>0</v>
      </c>
      <c r="FS325" s="364" t="e">
        <f t="shared" si="437"/>
        <v>#DIV/0!</v>
      </c>
      <c r="FT325" s="362"/>
    </row>
    <row r="326" spans="160:194" ht="14.4" customHeight="1" x14ac:dyDescent="0.3">
      <c r="FD326" s="397" t="s">
        <v>245</v>
      </c>
      <c r="FE326" s="399" t="str">
        <f t="shared" si="449"/>
        <v>Servicio de Producción</v>
      </c>
      <c r="FF326" s="400">
        <v>0</v>
      </c>
      <c r="FG326" s="400">
        <v>0</v>
      </c>
      <c r="FH326" s="400">
        <v>0</v>
      </c>
      <c r="FI326" s="400">
        <v>0</v>
      </c>
      <c r="FJ326" s="400">
        <v>0</v>
      </c>
      <c r="FK326" s="400">
        <v>0</v>
      </c>
      <c r="FL326" s="400">
        <v>0</v>
      </c>
      <c r="FM326" s="400">
        <v>0</v>
      </c>
      <c r="FN326" s="400">
        <v>0</v>
      </c>
      <c r="FO326" s="400">
        <v>0</v>
      </c>
      <c r="FP326" s="400">
        <v>0</v>
      </c>
      <c r="FQ326" s="400">
        <v>0</v>
      </c>
      <c r="FR326" s="363">
        <f t="shared" si="450"/>
        <v>0</v>
      </c>
      <c r="FS326" s="364" t="e">
        <f t="shared" si="437"/>
        <v>#DIV/0!</v>
      </c>
      <c r="FT326" s="362"/>
    </row>
    <row r="327" spans="160:194" ht="14.4" customHeight="1" x14ac:dyDescent="0.3">
      <c r="FD327" s="397" t="s">
        <v>247</v>
      </c>
      <c r="FE327" s="399" t="str">
        <f t="shared" si="449"/>
        <v>Exclusividades</v>
      </c>
      <c r="FF327" s="400">
        <v>0</v>
      </c>
      <c r="FG327" s="400">
        <v>0</v>
      </c>
      <c r="FH327" s="400">
        <v>0</v>
      </c>
      <c r="FI327" s="400">
        <v>0</v>
      </c>
      <c r="FJ327" s="400">
        <v>0</v>
      </c>
      <c r="FK327" s="400">
        <v>0</v>
      </c>
      <c r="FL327" s="400">
        <v>0</v>
      </c>
      <c r="FM327" s="400">
        <v>0</v>
      </c>
      <c r="FN327" s="400">
        <v>0</v>
      </c>
      <c r="FO327" s="400">
        <v>0</v>
      </c>
      <c r="FP327" s="400">
        <v>0</v>
      </c>
      <c r="FQ327" s="400">
        <v>0</v>
      </c>
      <c r="FR327" s="363">
        <f t="shared" si="450"/>
        <v>0</v>
      </c>
      <c r="FS327" s="364" t="e">
        <f t="shared" si="437"/>
        <v>#DIV/0!</v>
      </c>
      <c r="FT327" s="362"/>
    </row>
    <row r="328" spans="160:194" ht="14.4" customHeight="1" x14ac:dyDescent="0.3">
      <c r="FE328" s="399" t="str">
        <f t="shared" si="449"/>
        <v>Servicios varios</v>
      </c>
      <c r="FF328" s="400">
        <v>0</v>
      </c>
      <c r="FG328" s="400">
        <v>0</v>
      </c>
      <c r="FH328" s="400">
        <v>0</v>
      </c>
      <c r="FI328" s="400">
        <v>0</v>
      </c>
      <c r="FJ328" s="400">
        <v>0</v>
      </c>
      <c r="FK328" s="400">
        <v>0</v>
      </c>
      <c r="FL328" s="400">
        <v>0</v>
      </c>
      <c r="FM328" s="400">
        <v>0</v>
      </c>
      <c r="FN328" s="400">
        <v>0</v>
      </c>
      <c r="FO328" s="400">
        <v>0</v>
      </c>
      <c r="FP328" s="400">
        <v>0</v>
      </c>
      <c r="FQ328" s="400">
        <v>0</v>
      </c>
      <c r="FR328" s="363">
        <f t="shared" si="450"/>
        <v>0</v>
      </c>
      <c r="FS328" s="364" t="e">
        <f t="shared" si="437"/>
        <v>#DIV/0!</v>
      </c>
      <c r="FT328" s="362"/>
    </row>
    <row r="329" spans="160:194" ht="14.4" customHeight="1" x14ac:dyDescent="0.3">
      <c r="FE329" s="399" t="str">
        <f t="shared" si="449"/>
        <v>Servicio Gas</v>
      </c>
      <c r="FF329" s="400">
        <v>0</v>
      </c>
      <c r="FG329" s="400">
        <v>0</v>
      </c>
      <c r="FH329" s="400">
        <v>0</v>
      </c>
      <c r="FI329" s="400">
        <v>0</v>
      </c>
      <c r="FJ329" s="400">
        <v>0</v>
      </c>
      <c r="FK329" s="400">
        <v>0</v>
      </c>
      <c r="FL329" s="400">
        <v>0</v>
      </c>
      <c r="FM329" s="400">
        <v>0</v>
      </c>
      <c r="FN329" s="400">
        <v>0</v>
      </c>
      <c r="FO329" s="400">
        <v>0</v>
      </c>
      <c r="FP329" s="400">
        <v>0</v>
      </c>
      <c r="FQ329" s="400">
        <v>0</v>
      </c>
      <c r="FR329" s="363">
        <f t="shared" si="450"/>
        <v>0</v>
      </c>
      <c r="FS329" s="364" t="e">
        <f t="shared" si="437"/>
        <v>#DIV/0!</v>
      </c>
      <c r="FT329" s="362"/>
    </row>
    <row r="330" spans="160:194" ht="14.4" customHeight="1" x14ac:dyDescent="0.3">
      <c r="FE330" s="361"/>
      <c r="FF330" s="362"/>
      <c r="FG330" s="362"/>
      <c r="FH330" s="362"/>
      <c r="FI330" s="362"/>
      <c r="FJ330" s="362"/>
      <c r="FK330" s="362"/>
      <c r="FL330" s="362"/>
      <c r="FM330" s="362"/>
      <c r="FN330" s="362"/>
      <c r="FO330" s="362"/>
      <c r="FP330" s="362"/>
      <c r="FQ330" s="362"/>
      <c r="FR330" s="363">
        <f t="shared" si="450"/>
        <v>0</v>
      </c>
      <c r="FS330" s="364"/>
      <c r="FT330" s="362"/>
    </row>
    <row r="331" spans="160:194" ht="14.4" customHeight="1" x14ac:dyDescent="0.3">
      <c r="FE331" s="357" t="s">
        <v>450</v>
      </c>
      <c r="FF331" s="362" t="e">
        <f t="shared" ref="FF331:FQ331" si="451">+FF205-FF207</f>
        <v>#DIV/0!</v>
      </c>
      <c r="FG331" s="362" t="e">
        <f t="shared" si="451"/>
        <v>#DIV/0!</v>
      </c>
      <c r="FH331" s="362" t="e">
        <f t="shared" si="451"/>
        <v>#DIV/0!</v>
      </c>
      <c r="FI331" s="362" t="e">
        <f t="shared" si="451"/>
        <v>#DIV/0!</v>
      </c>
      <c r="FJ331" s="362" t="e">
        <f t="shared" si="451"/>
        <v>#DIV/0!</v>
      </c>
      <c r="FK331" s="362" t="e">
        <f t="shared" si="451"/>
        <v>#DIV/0!</v>
      </c>
      <c r="FL331" s="362" t="e">
        <f t="shared" si="451"/>
        <v>#DIV/0!</v>
      </c>
      <c r="FM331" s="362" t="e">
        <f t="shared" si="451"/>
        <v>#DIV/0!</v>
      </c>
      <c r="FN331" s="362" t="e">
        <f t="shared" si="451"/>
        <v>#DIV/0!</v>
      </c>
      <c r="FO331" s="362" t="e">
        <f t="shared" si="451"/>
        <v>#DIV/0!</v>
      </c>
      <c r="FP331" s="362" t="e">
        <f t="shared" si="451"/>
        <v>#DIV/0!</v>
      </c>
      <c r="FQ331" s="362" t="e">
        <f t="shared" si="451"/>
        <v>#DIV/0!</v>
      </c>
      <c r="FR331" s="363" t="e">
        <f t="shared" si="450"/>
        <v>#DIV/0!</v>
      </c>
      <c r="FS331" s="364" t="e">
        <f>FR333/$FR$201</f>
        <v>#DIV/0!</v>
      </c>
      <c r="FT331" s="362"/>
      <c r="GL331" s="362"/>
    </row>
    <row r="332" spans="160:194" ht="14.4" customHeight="1" x14ac:dyDescent="0.3">
      <c r="FE332" s="361"/>
      <c r="FF332" s="362"/>
      <c r="FG332" s="362"/>
      <c r="FH332" s="362"/>
      <c r="FI332" s="362"/>
      <c r="FJ332" s="362"/>
      <c r="FK332" s="362"/>
      <c r="FL332" s="362"/>
      <c r="FM332" s="362"/>
      <c r="FN332" s="362"/>
      <c r="FO332" s="362"/>
      <c r="FP332" s="362"/>
      <c r="FQ332" s="362"/>
      <c r="FR332" s="363">
        <f t="shared" si="450"/>
        <v>0</v>
      </c>
      <c r="FS332" s="364" t="e">
        <f>FR334/$FR$201</f>
        <v>#DIV/0!</v>
      </c>
      <c r="GL332" s="362"/>
    </row>
    <row r="333" spans="160:194" ht="14.4" customHeight="1" x14ac:dyDescent="0.3">
      <c r="FE333" s="357" t="s">
        <v>249</v>
      </c>
      <c r="FF333" s="437">
        <f t="shared" ref="FF333:FQ333" si="452">+FF203*$FF$385</f>
        <v>0</v>
      </c>
      <c r="FG333" s="437">
        <f t="shared" si="452"/>
        <v>0</v>
      </c>
      <c r="FH333" s="437">
        <f t="shared" si="452"/>
        <v>0</v>
      </c>
      <c r="FI333" s="437">
        <f t="shared" si="452"/>
        <v>0</v>
      </c>
      <c r="FJ333" s="437">
        <f t="shared" si="452"/>
        <v>0</v>
      </c>
      <c r="FK333" s="437">
        <f t="shared" si="452"/>
        <v>0</v>
      </c>
      <c r="FL333" s="437">
        <f t="shared" si="452"/>
        <v>0</v>
      </c>
      <c r="FM333" s="437">
        <f t="shared" si="452"/>
        <v>0</v>
      </c>
      <c r="FN333" s="437">
        <f t="shared" si="452"/>
        <v>0</v>
      </c>
      <c r="FO333" s="437">
        <f t="shared" si="452"/>
        <v>0</v>
      </c>
      <c r="FP333" s="437">
        <f t="shared" si="452"/>
        <v>0</v>
      </c>
      <c r="FQ333" s="437">
        <f t="shared" si="452"/>
        <v>0</v>
      </c>
      <c r="FR333" s="363">
        <f t="shared" si="450"/>
        <v>0</v>
      </c>
      <c r="FS333" s="364" t="e">
        <f>FR335/$FR$201</f>
        <v>#DIV/0!</v>
      </c>
      <c r="GL333" s="362"/>
    </row>
    <row r="334" spans="160:194" ht="14.4" customHeight="1" x14ac:dyDescent="0.3">
      <c r="FE334" s="361"/>
      <c r="FF334" s="362"/>
      <c r="FG334" s="362"/>
      <c r="FH334" s="362"/>
      <c r="FI334" s="362"/>
      <c r="FJ334" s="362"/>
      <c r="FK334" s="362"/>
      <c r="FL334" s="362"/>
      <c r="FM334" s="362"/>
      <c r="FN334" s="362"/>
      <c r="FO334" s="362"/>
      <c r="FP334" s="362"/>
      <c r="FQ334" s="362"/>
      <c r="FR334" s="363">
        <f t="shared" si="450"/>
        <v>0</v>
      </c>
      <c r="FS334" s="364"/>
      <c r="GL334" s="362"/>
    </row>
    <row r="335" spans="160:194" ht="14.4" customHeight="1" x14ac:dyDescent="0.3">
      <c r="FE335" s="357" t="s">
        <v>451</v>
      </c>
      <c r="FF335" s="362" t="e">
        <f>+FF331-FF333</f>
        <v>#DIV/0!</v>
      </c>
      <c r="FG335" s="362" t="e">
        <f t="shared" ref="FG335:FQ335" si="453">+FG331-FG333</f>
        <v>#DIV/0!</v>
      </c>
      <c r="FH335" s="362" t="e">
        <f t="shared" si="453"/>
        <v>#DIV/0!</v>
      </c>
      <c r="FI335" s="362" t="e">
        <f t="shared" si="453"/>
        <v>#DIV/0!</v>
      </c>
      <c r="FJ335" s="362" t="e">
        <f t="shared" si="453"/>
        <v>#DIV/0!</v>
      </c>
      <c r="FK335" s="362" t="e">
        <f t="shared" si="453"/>
        <v>#DIV/0!</v>
      </c>
      <c r="FL335" s="362" t="e">
        <f t="shared" si="453"/>
        <v>#DIV/0!</v>
      </c>
      <c r="FM335" s="362" t="e">
        <f t="shared" si="453"/>
        <v>#DIV/0!</v>
      </c>
      <c r="FN335" s="362" t="e">
        <f t="shared" si="453"/>
        <v>#DIV/0!</v>
      </c>
      <c r="FO335" s="362" t="e">
        <f t="shared" si="453"/>
        <v>#DIV/0!</v>
      </c>
      <c r="FP335" s="362" t="e">
        <f t="shared" si="453"/>
        <v>#DIV/0!</v>
      </c>
      <c r="FQ335" s="362" t="e">
        <f t="shared" si="453"/>
        <v>#DIV/0!</v>
      </c>
      <c r="FR335" s="363" t="e">
        <f t="shared" si="450"/>
        <v>#DIV/0!</v>
      </c>
      <c r="FS335" s="364" t="e">
        <f>FR337/$FR$201</f>
        <v>#DIV/0!</v>
      </c>
      <c r="GL335" s="362"/>
    </row>
    <row r="336" spans="160:194" ht="14.4" customHeight="1" x14ac:dyDescent="0.3">
      <c r="FE336" s="361"/>
      <c r="FF336" s="362"/>
      <c r="FG336" s="362"/>
      <c r="FH336" s="362"/>
      <c r="FI336" s="362"/>
      <c r="FJ336" s="362"/>
      <c r="FK336" s="362"/>
      <c r="FL336" s="362"/>
      <c r="FM336" s="362"/>
      <c r="FN336" s="362"/>
      <c r="FO336" s="362"/>
      <c r="FP336" s="362"/>
      <c r="FQ336" s="362"/>
      <c r="FR336" s="363">
        <f t="shared" si="450"/>
        <v>0</v>
      </c>
      <c r="FS336" s="364"/>
    </row>
    <row r="337" spans="160:175" ht="14.4" customHeight="1" x14ac:dyDescent="0.3">
      <c r="FE337" s="357" t="s">
        <v>251</v>
      </c>
      <c r="FF337" s="437">
        <f t="shared" ref="FF337:FQ337" si="454">+$FF$384*FF376</f>
        <v>0</v>
      </c>
      <c r="FG337" s="437">
        <f t="shared" si="454"/>
        <v>0</v>
      </c>
      <c r="FH337" s="437">
        <f t="shared" si="454"/>
        <v>0</v>
      </c>
      <c r="FI337" s="437">
        <f t="shared" si="454"/>
        <v>0</v>
      </c>
      <c r="FJ337" s="437">
        <f t="shared" si="454"/>
        <v>0</v>
      </c>
      <c r="FK337" s="437">
        <f t="shared" si="454"/>
        <v>0</v>
      </c>
      <c r="FL337" s="437">
        <f t="shared" si="454"/>
        <v>0</v>
      </c>
      <c r="FM337" s="437">
        <f t="shared" si="454"/>
        <v>0</v>
      </c>
      <c r="FN337" s="437">
        <f t="shared" si="454"/>
        <v>0</v>
      </c>
      <c r="FO337" s="437">
        <f t="shared" si="454"/>
        <v>0</v>
      </c>
      <c r="FP337" s="437">
        <f t="shared" si="454"/>
        <v>0</v>
      </c>
      <c r="FQ337" s="437">
        <f t="shared" si="454"/>
        <v>0</v>
      </c>
      <c r="FR337" s="363">
        <f t="shared" si="450"/>
        <v>0</v>
      </c>
      <c r="FS337" s="364" t="e">
        <f>FR339/$FR$201</f>
        <v>#DIV/0!</v>
      </c>
    </row>
    <row r="338" spans="160:175" ht="14.4" customHeight="1" x14ac:dyDescent="0.3">
      <c r="FE338" s="361"/>
      <c r="FF338" s="362"/>
      <c r="FG338" s="362"/>
      <c r="FH338" s="362"/>
      <c r="FI338" s="362"/>
      <c r="FJ338" s="362"/>
      <c r="FK338" s="362"/>
      <c r="FL338" s="362"/>
      <c r="FM338" s="362"/>
      <c r="FN338" s="362"/>
      <c r="FO338" s="362"/>
      <c r="FP338" s="362"/>
      <c r="FQ338" s="362"/>
      <c r="FR338" s="363">
        <f t="shared" si="450"/>
        <v>0</v>
      </c>
      <c r="FS338" s="362"/>
    </row>
    <row r="339" spans="160:175" ht="14.4" customHeight="1" x14ac:dyDescent="0.3">
      <c r="FD339" s="244" t="s">
        <v>253</v>
      </c>
      <c r="FE339" s="357" t="s">
        <v>252</v>
      </c>
      <c r="FF339" s="362" t="e">
        <f>+FF335-FF337</f>
        <v>#DIV/0!</v>
      </c>
      <c r="FG339" s="362" t="e">
        <f t="shared" ref="FG339:FQ339" si="455">+FG335-FG337</f>
        <v>#DIV/0!</v>
      </c>
      <c r="FH339" s="362" t="e">
        <f t="shared" si="455"/>
        <v>#DIV/0!</v>
      </c>
      <c r="FI339" s="362" t="e">
        <f t="shared" si="455"/>
        <v>#DIV/0!</v>
      </c>
      <c r="FJ339" s="362" t="e">
        <f t="shared" si="455"/>
        <v>#DIV/0!</v>
      </c>
      <c r="FK339" s="362" t="e">
        <f t="shared" si="455"/>
        <v>#DIV/0!</v>
      </c>
      <c r="FL339" s="362" t="e">
        <f t="shared" si="455"/>
        <v>#DIV/0!</v>
      </c>
      <c r="FM339" s="362" t="e">
        <f t="shared" si="455"/>
        <v>#DIV/0!</v>
      </c>
      <c r="FN339" s="362" t="e">
        <f t="shared" si="455"/>
        <v>#DIV/0!</v>
      </c>
      <c r="FO339" s="362" t="e">
        <f t="shared" si="455"/>
        <v>#DIV/0!</v>
      </c>
      <c r="FP339" s="362" t="e">
        <f t="shared" si="455"/>
        <v>#DIV/0!</v>
      </c>
      <c r="FQ339" s="362" t="e">
        <f t="shared" si="455"/>
        <v>#DIV/0!</v>
      </c>
      <c r="FR339" s="363" t="e">
        <f t="shared" si="450"/>
        <v>#DIV/0!</v>
      </c>
      <c r="FS339" s="364" t="e">
        <f t="shared" ref="FS339:FS347" si="456">FR341/$FR$201</f>
        <v>#DIV/0!</v>
      </c>
    </row>
    <row r="340" spans="160:175" ht="14.4" customHeight="1" x14ac:dyDescent="0.3">
      <c r="FD340" s="244" t="s">
        <v>255</v>
      </c>
      <c r="FF340" s="362"/>
      <c r="FG340" s="362"/>
      <c r="FH340" s="362"/>
      <c r="FI340" s="362"/>
      <c r="FJ340" s="362"/>
      <c r="FK340" s="362"/>
      <c r="FL340" s="362"/>
      <c r="FM340" s="362"/>
      <c r="FN340" s="362"/>
      <c r="FO340" s="362"/>
      <c r="FP340" s="362"/>
      <c r="FQ340" s="362"/>
      <c r="FR340" s="362"/>
      <c r="FS340" s="364" t="e">
        <f t="shared" si="456"/>
        <v>#DIV/0!</v>
      </c>
    </row>
    <row r="341" spans="160:175" ht="14.4" customHeight="1" x14ac:dyDescent="0.3">
      <c r="FD341" s="244" t="s">
        <v>257</v>
      </c>
      <c r="FE341" s="357" t="s">
        <v>254</v>
      </c>
      <c r="FF341" s="325">
        <f>FF342</f>
        <v>-0.59291629629629661</v>
      </c>
      <c r="FG341" s="325">
        <f t="shared" ref="FG341:FQ341" si="457">FG342</f>
        <v>-0.59388199074074</v>
      </c>
      <c r="FH341" s="325">
        <f t="shared" si="457"/>
        <v>-0.59484768518518494</v>
      </c>
      <c r="FI341" s="325">
        <f t="shared" si="457"/>
        <v>-0.59581337962962999</v>
      </c>
      <c r="FJ341" s="325">
        <f t="shared" si="457"/>
        <v>-0.59677907407407327</v>
      </c>
      <c r="FK341" s="325">
        <f t="shared" si="457"/>
        <v>-0.59774476851851832</v>
      </c>
      <c r="FL341" s="325">
        <f t="shared" si="457"/>
        <v>-0.59871046296296326</v>
      </c>
      <c r="FM341" s="325">
        <f t="shared" si="457"/>
        <v>-0.59967615740740665</v>
      </c>
      <c r="FN341" s="325">
        <f t="shared" si="457"/>
        <v>-0.60064185185185159</v>
      </c>
      <c r="FO341" s="325">
        <f t="shared" si="457"/>
        <v>-0.60160754629628665</v>
      </c>
      <c r="FP341" s="325">
        <f t="shared" si="457"/>
        <v>-0.60257324074073004</v>
      </c>
      <c r="FQ341" s="325">
        <f t="shared" si="457"/>
        <v>-0.60353893518517343</v>
      </c>
      <c r="FR341" s="309">
        <f>SUM(FF341:FQ341)</f>
        <v>-7.1787313888888553</v>
      </c>
      <c r="FS341" s="364" t="e">
        <f t="shared" si="456"/>
        <v>#DIV/0!</v>
      </c>
    </row>
    <row r="342" spans="160:175" ht="14.4" customHeight="1" x14ac:dyDescent="0.3">
      <c r="FD342" s="244" t="s">
        <v>258</v>
      </c>
      <c r="FE342" s="442" t="s">
        <v>256</v>
      </c>
      <c r="FF342" s="325">
        <f>SUM(FF343:FF349)</f>
        <v>-0.59291629629629661</v>
      </c>
      <c r="FG342" s="325">
        <f t="shared" ref="FG342:FQ342" si="458">SUM(FG343:FG349)</f>
        <v>-0.59388199074074</v>
      </c>
      <c r="FH342" s="325">
        <f t="shared" si="458"/>
        <v>-0.59484768518518494</v>
      </c>
      <c r="FI342" s="325">
        <f t="shared" si="458"/>
        <v>-0.59581337962962999</v>
      </c>
      <c r="FJ342" s="325">
        <f t="shared" si="458"/>
        <v>-0.59677907407407327</v>
      </c>
      <c r="FK342" s="325">
        <f t="shared" si="458"/>
        <v>-0.59774476851851832</v>
      </c>
      <c r="FL342" s="325">
        <f t="shared" si="458"/>
        <v>-0.59871046296296326</v>
      </c>
      <c r="FM342" s="325">
        <f t="shared" si="458"/>
        <v>-0.59967615740740665</v>
      </c>
      <c r="FN342" s="325">
        <f t="shared" si="458"/>
        <v>-0.60064185185185159</v>
      </c>
      <c r="FO342" s="325">
        <f t="shared" si="458"/>
        <v>-0.60160754629628665</v>
      </c>
      <c r="FP342" s="325">
        <f t="shared" si="458"/>
        <v>-0.60257324074073004</v>
      </c>
      <c r="FQ342" s="325">
        <f t="shared" si="458"/>
        <v>-0.60353893518517343</v>
      </c>
      <c r="FR342" s="309">
        <f>SUM(FF342:FQ342)</f>
        <v>-7.1787313888888553</v>
      </c>
      <c r="FS342" s="364" t="e">
        <f t="shared" si="456"/>
        <v>#DIV/0!</v>
      </c>
    </row>
    <row r="343" spans="160:175" ht="14.4" customHeight="1" x14ac:dyDescent="0.3">
      <c r="FD343" s="244" t="s">
        <v>259</v>
      </c>
      <c r="FE343" s="244" t="str">
        <f>FE169</f>
        <v>Amortizacion Mejoras edificio 1</v>
      </c>
      <c r="FF343" s="362">
        <f t="shared" ref="FF343:FF350" si="459">FF169*$FF$376</f>
        <v>0</v>
      </c>
      <c r="FG343" s="362">
        <f t="shared" ref="FG343:FG350" si="460">FG169*$FG$376</f>
        <v>0</v>
      </c>
      <c r="FH343" s="362">
        <f t="shared" ref="FH343:FH350" si="461">FH169*$FH$376</f>
        <v>0</v>
      </c>
      <c r="FI343" s="362">
        <f t="shared" ref="FI343:FI350" si="462">FI169*$FI$376</f>
        <v>0</v>
      </c>
      <c r="FJ343" s="362">
        <f t="shared" ref="FJ343:FJ350" si="463">FJ169*$FJ$376</f>
        <v>0</v>
      </c>
      <c r="FK343" s="362">
        <f t="shared" ref="FK343:FK350" si="464">FK169*$FK$376</f>
        <v>0</v>
      </c>
      <c r="FL343" s="362">
        <f t="shared" ref="FL343:FL350" si="465">FL169*$FL$376</f>
        <v>0</v>
      </c>
      <c r="FM343" s="362">
        <f t="shared" ref="FM343:FM350" si="466">FM169*$FM$376</f>
        <v>0</v>
      </c>
      <c r="FN343" s="362">
        <f t="shared" ref="FN343:FN350" si="467">FN169*$FN$376</f>
        <v>0</v>
      </c>
      <c r="FO343" s="362">
        <f t="shared" ref="FO343:FO350" si="468">FO169*$FO$376</f>
        <v>0</v>
      </c>
      <c r="FP343" s="362">
        <f t="shared" ref="FP343:FP350" si="469">FP169*$FP$376</f>
        <v>0</v>
      </c>
      <c r="FQ343" s="362">
        <f t="shared" ref="FQ343:FQ350" si="470">FQ169*$FQ$376</f>
        <v>0</v>
      </c>
      <c r="FR343" s="363">
        <f t="shared" ref="FR343:FR350" si="471">SUM(FF343:FQ343)</f>
        <v>0</v>
      </c>
      <c r="FS343" s="364" t="e">
        <f t="shared" si="456"/>
        <v>#DIV/0!</v>
      </c>
    </row>
    <row r="344" spans="160:175" ht="14.4" customHeight="1" x14ac:dyDescent="0.3">
      <c r="FD344" s="244" t="s">
        <v>260</v>
      </c>
      <c r="FE344" s="244" t="str">
        <f t="shared" ref="FE344:FE350" si="472">FE170</f>
        <v>Amortizacion Mejoras edificio 2</v>
      </c>
      <c r="FF344" s="362">
        <f t="shared" si="459"/>
        <v>0</v>
      </c>
      <c r="FG344" s="362">
        <f t="shared" si="460"/>
        <v>0</v>
      </c>
      <c r="FH344" s="362">
        <f t="shared" si="461"/>
        <v>0</v>
      </c>
      <c r="FI344" s="362">
        <f t="shared" si="462"/>
        <v>0</v>
      </c>
      <c r="FJ344" s="362">
        <f t="shared" si="463"/>
        <v>0</v>
      </c>
      <c r="FK344" s="362">
        <f t="shared" si="464"/>
        <v>0</v>
      </c>
      <c r="FL344" s="362">
        <f t="shared" si="465"/>
        <v>0</v>
      </c>
      <c r="FM344" s="362">
        <f t="shared" si="466"/>
        <v>0</v>
      </c>
      <c r="FN344" s="362">
        <f t="shared" si="467"/>
        <v>0</v>
      </c>
      <c r="FO344" s="362">
        <f t="shared" si="468"/>
        <v>0</v>
      </c>
      <c r="FP344" s="362">
        <f t="shared" si="469"/>
        <v>0</v>
      </c>
      <c r="FQ344" s="362">
        <f t="shared" si="470"/>
        <v>0</v>
      </c>
      <c r="FR344" s="363">
        <f t="shared" si="471"/>
        <v>0</v>
      </c>
      <c r="FS344" s="364" t="e">
        <f t="shared" si="456"/>
        <v>#DIV/0!</v>
      </c>
    </row>
    <row r="345" spans="160:175" ht="14.4" customHeight="1" x14ac:dyDescent="0.3">
      <c r="FD345" s="244" t="s">
        <v>261</v>
      </c>
      <c r="FE345" s="244" t="str">
        <f t="shared" si="472"/>
        <v>Amortizacion Mejoras edificio 3</v>
      </c>
      <c r="FF345" s="362">
        <f t="shared" si="459"/>
        <v>0</v>
      </c>
      <c r="FG345" s="362">
        <f t="shared" si="460"/>
        <v>0</v>
      </c>
      <c r="FH345" s="362">
        <f t="shared" si="461"/>
        <v>0</v>
      </c>
      <c r="FI345" s="362">
        <f t="shared" si="462"/>
        <v>0</v>
      </c>
      <c r="FJ345" s="362">
        <f t="shared" si="463"/>
        <v>0</v>
      </c>
      <c r="FK345" s="362">
        <f t="shared" si="464"/>
        <v>0</v>
      </c>
      <c r="FL345" s="362">
        <f t="shared" si="465"/>
        <v>0</v>
      </c>
      <c r="FM345" s="362">
        <f t="shared" si="466"/>
        <v>0</v>
      </c>
      <c r="FN345" s="362">
        <f t="shared" si="467"/>
        <v>0</v>
      </c>
      <c r="FO345" s="362">
        <f t="shared" si="468"/>
        <v>0</v>
      </c>
      <c r="FP345" s="362">
        <f t="shared" si="469"/>
        <v>0</v>
      </c>
      <c r="FQ345" s="362">
        <f t="shared" si="470"/>
        <v>0</v>
      </c>
      <c r="FR345" s="363">
        <f t="shared" si="471"/>
        <v>0</v>
      </c>
      <c r="FS345" s="364" t="e">
        <f t="shared" si="456"/>
        <v>#DIV/0!</v>
      </c>
    </row>
    <row r="346" spans="160:175" ht="14.4" customHeight="1" x14ac:dyDescent="0.3">
      <c r="FD346" s="244" t="s">
        <v>262</v>
      </c>
      <c r="FE346" s="244" t="str">
        <f t="shared" si="472"/>
        <v>Amortizacion Mejoras edificio 4</v>
      </c>
      <c r="FF346" s="362">
        <f t="shared" si="459"/>
        <v>0</v>
      </c>
      <c r="FG346" s="362">
        <f t="shared" si="460"/>
        <v>0</v>
      </c>
      <c r="FH346" s="362">
        <f t="shared" si="461"/>
        <v>0</v>
      </c>
      <c r="FI346" s="362">
        <f t="shared" si="462"/>
        <v>0</v>
      </c>
      <c r="FJ346" s="362">
        <f t="shared" si="463"/>
        <v>0</v>
      </c>
      <c r="FK346" s="362">
        <f t="shared" si="464"/>
        <v>0</v>
      </c>
      <c r="FL346" s="362">
        <f t="shared" si="465"/>
        <v>0</v>
      </c>
      <c r="FM346" s="362">
        <f t="shared" si="466"/>
        <v>0</v>
      </c>
      <c r="FN346" s="362">
        <f t="shared" si="467"/>
        <v>0</v>
      </c>
      <c r="FO346" s="362">
        <f t="shared" si="468"/>
        <v>0</v>
      </c>
      <c r="FP346" s="362">
        <f t="shared" si="469"/>
        <v>0</v>
      </c>
      <c r="FQ346" s="362">
        <f t="shared" si="470"/>
        <v>0</v>
      </c>
      <c r="FR346" s="363">
        <f t="shared" si="471"/>
        <v>0</v>
      </c>
      <c r="FS346" s="364" t="e">
        <f t="shared" si="456"/>
        <v>#DIV/0!</v>
      </c>
    </row>
    <row r="347" spans="160:175" ht="14.4" customHeight="1" x14ac:dyDescent="0.3">
      <c r="FD347" s="244" t="s">
        <v>263</v>
      </c>
      <c r="FE347" s="244" t="str">
        <f t="shared" si="472"/>
        <v>Amortizacion Mejoras edificio 5</v>
      </c>
      <c r="FF347" s="362">
        <f t="shared" si="459"/>
        <v>0</v>
      </c>
      <c r="FG347" s="362">
        <f t="shared" si="460"/>
        <v>0</v>
      </c>
      <c r="FH347" s="362">
        <f t="shared" si="461"/>
        <v>0</v>
      </c>
      <c r="FI347" s="362">
        <f t="shared" si="462"/>
        <v>0</v>
      </c>
      <c r="FJ347" s="362">
        <f t="shared" si="463"/>
        <v>0</v>
      </c>
      <c r="FK347" s="362">
        <f t="shared" si="464"/>
        <v>0</v>
      </c>
      <c r="FL347" s="362">
        <f t="shared" si="465"/>
        <v>0</v>
      </c>
      <c r="FM347" s="362">
        <f t="shared" si="466"/>
        <v>0</v>
      </c>
      <c r="FN347" s="362">
        <f t="shared" si="467"/>
        <v>0</v>
      </c>
      <c r="FO347" s="362">
        <f t="shared" si="468"/>
        <v>0</v>
      </c>
      <c r="FP347" s="362">
        <f t="shared" si="469"/>
        <v>0</v>
      </c>
      <c r="FQ347" s="362">
        <f t="shared" si="470"/>
        <v>0</v>
      </c>
      <c r="FR347" s="363">
        <f t="shared" si="471"/>
        <v>0</v>
      </c>
      <c r="FS347" s="364" t="e">
        <f t="shared" si="456"/>
        <v>#DIV/0!</v>
      </c>
    </row>
    <row r="348" spans="160:175" ht="14.4" customHeight="1" x14ac:dyDescent="0.3">
      <c r="FE348" s="244" t="str">
        <f t="shared" si="472"/>
        <v>Depreciaciones equipos cómputo</v>
      </c>
      <c r="FF348" s="362">
        <f t="shared" si="459"/>
        <v>0</v>
      </c>
      <c r="FG348" s="362">
        <f t="shared" si="460"/>
        <v>0</v>
      </c>
      <c r="FH348" s="362">
        <f t="shared" si="461"/>
        <v>0</v>
      </c>
      <c r="FI348" s="362">
        <f t="shared" si="462"/>
        <v>0</v>
      </c>
      <c r="FJ348" s="362">
        <f t="shared" si="463"/>
        <v>0</v>
      </c>
      <c r="FK348" s="362">
        <f t="shared" si="464"/>
        <v>0</v>
      </c>
      <c r="FL348" s="362">
        <f t="shared" si="465"/>
        <v>0</v>
      </c>
      <c r="FM348" s="362">
        <f t="shared" si="466"/>
        <v>0</v>
      </c>
      <c r="FN348" s="362">
        <f t="shared" si="467"/>
        <v>0</v>
      </c>
      <c r="FO348" s="362">
        <f t="shared" si="468"/>
        <v>0</v>
      </c>
      <c r="FP348" s="362">
        <f t="shared" si="469"/>
        <v>0</v>
      </c>
      <c r="FQ348" s="362">
        <f t="shared" si="470"/>
        <v>0</v>
      </c>
      <c r="FR348" s="363">
        <f t="shared" si="471"/>
        <v>0</v>
      </c>
      <c r="FS348" s="362"/>
    </row>
    <row r="349" spans="160:175" ht="14.4" customHeight="1" x14ac:dyDescent="0.3">
      <c r="FE349" s="244" t="str">
        <f t="shared" si="472"/>
        <v>Depreciaciones Activos Fijos</v>
      </c>
      <c r="FF349" s="362">
        <f t="shared" si="459"/>
        <v>-0.59291629629629661</v>
      </c>
      <c r="FG349" s="362">
        <f t="shared" si="460"/>
        <v>-0.59388199074074</v>
      </c>
      <c r="FH349" s="362">
        <f t="shared" si="461"/>
        <v>-0.59484768518518494</v>
      </c>
      <c r="FI349" s="362">
        <f t="shared" si="462"/>
        <v>-0.59581337962962999</v>
      </c>
      <c r="FJ349" s="362">
        <f t="shared" si="463"/>
        <v>-0.59677907407407327</v>
      </c>
      <c r="FK349" s="362">
        <f t="shared" si="464"/>
        <v>-0.59774476851851832</v>
      </c>
      <c r="FL349" s="362">
        <f t="shared" si="465"/>
        <v>-0.59871046296296326</v>
      </c>
      <c r="FM349" s="362">
        <f t="shared" si="466"/>
        <v>-0.59967615740740665</v>
      </c>
      <c r="FN349" s="362">
        <f t="shared" si="467"/>
        <v>-0.60064185185185159</v>
      </c>
      <c r="FO349" s="362">
        <f t="shared" si="468"/>
        <v>-0.60160754629628665</v>
      </c>
      <c r="FP349" s="362">
        <f t="shared" si="469"/>
        <v>-0.60257324074073004</v>
      </c>
      <c r="FQ349" s="362">
        <f t="shared" si="470"/>
        <v>-0.60353893518517343</v>
      </c>
      <c r="FR349" s="363">
        <f t="shared" si="471"/>
        <v>-7.1787313888888553</v>
      </c>
      <c r="FS349" s="364" t="e">
        <f>FR351/$FR$201</f>
        <v>#DIV/0!</v>
      </c>
    </row>
    <row r="350" spans="160:175" ht="14.4" customHeight="1" x14ac:dyDescent="0.3">
      <c r="FE350" s="244">
        <f t="shared" si="472"/>
        <v>0</v>
      </c>
      <c r="FF350" s="362">
        <f t="shared" si="459"/>
        <v>0</v>
      </c>
      <c r="FG350" s="362">
        <f t="shared" si="460"/>
        <v>0</v>
      </c>
      <c r="FH350" s="362">
        <f t="shared" si="461"/>
        <v>0</v>
      </c>
      <c r="FI350" s="362">
        <f t="shared" si="462"/>
        <v>0</v>
      </c>
      <c r="FJ350" s="362">
        <f t="shared" si="463"/>
        <v>0</v>
      </c>
      <c r="FK350" s="362">
        <f t="shared" si="464"/>
        <v>0</v>
      </c>
      <c r="FL350" s="362">
        <f t="shared" si="465"/>
        <v>0</v>
      </c>
      <c r="FM350" s="362">
        <f t="shared" si="466"/>
        <v>0</v>
      </c>
      <c r="FN350" s="362">
        <f t="shared" si="467"/>
        <v>0</v>
      </c>
      <c r="FO350" s="362">
        <f t="shared" si="468"/>
        <v>0</v>
      </c>
      <c r="FP350" s="362">
        <f t="shared" si="469"/>
        <v>0</v>
      </c>
      <c r="FQ350" s="362">
        <f t="shared" si="470"/>
        <v>0</v>
      </c>
      <c r="FR350" s="363">
        <f t="shared" si="471"/>
        <v>0</v>
      </c>
      <c r="FS350" s="362"/>
    </row>
    <row r="351" spans="160:175" ht="14.4" customHeight="1" x14ac:dyDescent="0.3">
      <c r="FE351" s="467" t="s">
        <v>264</v>
      </c>
      <c r="FF351" s="358" t="e">
        <f>MAX(FF203*1%,((FF339-FF341)*30%))</f>
        <v>#DIV/0!</v>
      </c>
      <c r="FG351" s="358" t="e">
        <f t="shared" ref="FG351:FQ351" si="473">MAX(FG203*1%,((FG339-FG341)*30%))</f>
        <v>#DIV/0!</v>
      </c>
      <c r="FH351" s="358" t="e">
        <f t="shared" si="473"/>
        <v>#DIV/0!</v>
      </c>
      <c r="FI351" s="358" t="e">
        <f t="shared" si="473"/>
        <v>#DIV/0!</v>
      </c>
      <c r="FJ351" s="358" t="e">
        <f t="shared" si="473"/>
        <v>#DIV/0!</v>
      </c>
      <c r="FK351" s="358" t="e">
        <f t="shared" si="473"/>
        <v>#DIV/0!</v>
      </c>
      <c r="FL351" s="358" t="e">
        <f t="shared" si="473"/>
        <v>#DIV/0!</v>
      </c>
      <c r="FM351" s="358" t="e">
        <f t="shared" si="473"/>
        <v>#DIV/0!</v>
      </c>
      <c r="FN351" s="358" t="e">
        <f t="shared" si="473"/>
        <v>#DIV/0!</v>
      </c>
      <c r="FO351" s="358" t="e">
        <f t="shared" si="473"/>
        <v>#DIV/0!</v>
      </c>
      <c r="FP351" s="358" t="e">
        <f t="shared" si="473"/>
        <v>#DIV/0!</v>
      </c>
      <c r="FQ351" s="358" t="e">
        <f t="shared" si="473"/>
        <v>#DIV/0!</v>
      </c>
      <c r="FR351" s="359" t="e">
        <f>SUM(FF351:FQ351)</f>
        <v>#DIV/0!</v>
      </c>
      <c r="FS351" s="364" t="e">
        <f>FR353/$FR$201</f>
        <v>#DIV/0!</v>
      </c>
    </row>
    <row r="352" spans="160:175" ht="14.4" customHeight="1" x14ac:dyDescent="0.3">
      <c r="FE352" s="362"/>
      <c r="FF352" s="362"/>
      <c r="FG352" s="362"/>
      <c r="FH352" s="362"/>
      <c r="FI352" s="362"/>
      <c r="FJ352" s="362"/>
      <c r="FK352" s="362"/>
      <c r="FL352" s="362"/>
      <c r="FM352" s="362"/>
      <c r="FN352" s="362"/>
      <c r="FO352" s="362"/>
      <c r="FP352" s="362"/>
      <c r="FQ352" s="362"/>
      <c r="FR352" s="362"/>
    </row>
    <row r="353" spans="160:174" ht="14.4" customHeight="1" x14ac:dyDescent="0.3">
      <c r="FD353" s="443"/>
      <c r="FE353" s="467" t="s">
        <v>265</v>
      </c>
      <c r="FF353" s="359" t="e">
        <f>+FF339-FF341-FF351</f>
        <v>#DIV/0!</v>
      </c>
      <c r="FG353" s="359" t="e">
        <f t="shared" ref="FG353:FQ353" si="474">+FG339-FG341-FG351</f>
        <v>#DIV/0!</v>
      </c>
      <c r="FH353" s="359" t="e">
        <f t="shared" si="474"/>
        <v>#DIV/0!</v>
      </c>
      <c r="FI353" s="359" t="e">
        <f t="shared" si="474"/>
        <v>#DIV/0!</v>
      </c>
      <c r="FJ353" s="359" t="e">
        <f t="shared" si="474"/>
        <v>#DIV/0!</v>
      </c>
      <c r="FK353" s="359" t="e">
        <f t="shared" si="474"/>
        <v>#DIV/0!</v>
      </c>
      <c r="FL353" s="359" t="e">
        <f t="shared" si="474"/>
        <v>#DIV/0!</v>
      </c>
      <c r="FM353" s="359" t="e">
        <f t="shared" si="474"/>
        <v>#DIV/0!</v>
      </c>
      <c r="FN353" s="359" t="e">
        <f t="shared" si="474"/>
        <v>#DIV/0!</v>
      </c>
      <c r="FO353" s="359" t="e">
        <f t="shared" si="474"/>
        <v>#DIV/0!</v>
      </c>
      <c r="FP353" s="359" t="e">
        <f t="shared" si="474"/>
        <v>#DIV/0!</v>
      </c>
      <c r="FQ353" s="359" t="e">
        <f t="shared" si="474"/>
        <v>#DIV/0!</v>
      </c>
      <c r="FR353" s="359" t="e">
        <f>SUM(FF353:FQ353)</f>
        <v>#DIV/0!</v>
      </c>
    </row>
    <row r="354" spans="160:174" ht="14.4" customHeight="1" x14ac:dyDescent="0.3">
      <c r="FD354" s="445"/>
      <c r="FE354" s="362"/>
      <c r="FF354" s="362"/>
      <c r="FG354" s="362"/>
      <c r="FH354" s="362"/>
      <c r="FI354" s="362"/>
      <c r="FJ354" s="362"/>
      <c r="FK354" s="362"/>
      <c r="FL354" s="362"/>
      <c r="FM354" s="362"/>
      <c r="FN354" s="362"/>
      <c r="FO354" s="362"/>
      <c r="FP354" s="362"/>
      <c r="FQ354" s="362"/>
    </row>
    <row r="355" spans="160:174" ht="14.4" customHeight="1" x14ac:dyDescent="0.3">
      <c r="FD355" s="445"/>
      <c r="FE355" s="443" t="s">
        <v>266</v>
      </c>
      <c r="FF355" s="447"/>
    </row>
    <row r="356" spans="160:174" ht="14.4" customHeight="1" x14ac:dyDescent="0.3">
      <c r="FD356" s="443"/>
      <c r="FE356" s="445" t="s">
        <v>267</v>
      </c>
      <c r="FF356" s="448" t="e">
        <f t="shared" ref="FF356:FR356" si="475">FF353</f>
        <v>#DIV/0!</v>
      </c>
      <c r="FG356" s="448" t="e">
        <f t="shared" si="475"/>
        <v>#DIV/0!</v>
      </c>
      <c r="FH356" s="448" t="e">
        <f t="shared" si="475"/>
        <v>#DIV/0!</v>
      </c>
      <c r="FI356" s="448" t="e">
        <f t="shared" si="475"/>
        <v>#DIV/0!</v>
      </c>
      <c r="FJ356" s="448" t="e">
        <f t="shared" si="475"/>
        <v>#DIV/0!</v>
      </c>
      <c r="FK356" s="448" t="e">
        <f t="shared" si="475"/>
        <v>#DIV/0!</v>
      </c>
      <c r="FL356" s="448" t="e">
        <f t="shared" si="475"/>
        <v>#DIV/0!</v>
      </c>
      <c r="FM356" s="448" t="e">
        <f t="shared" si="475"/>
        <v>#DIV/0!</v>
      </c>
      <c r="FN356" s="448" t="e">
        <f t="shared" si="475"/>
        <v>#DIV/0!</v>
      </c>
      <c r="FO356" s="448" t="e">
        <f t="shared" si="475"/>
        <v>#DIV/0!</v>
      </c>
      <c r="FP356" s="448" t="e">
        <f t="shared" si="475"/>
        <v>#DIV/0!</v>
      </c>
      <c r="FQ356" s="448" t="e">
        <f t="shared" si="475"/>
        <v>#DIV/0!</v>
      </c>
      <c r="FR356" s="448" t="e">
        <f t="shared" si="475"/>
        <v>#DIV/0!</v>
      </c>
    </row>
    <row r="357" spans="160:174" ht="14.4" customHeight="1" x14ac:dyDescent="0.3">
      <c r="FE357" s="445" t="s">
        <v>17</v>
      </c>
      <c r="FF357" s="448">
        <f t="shared" ref="FF357:FR357" si="476">FF201</f>
        <v>0</v>
      </c>
      <c r="FG357" s="448">
        <f t="shared" si="476"/>
        <v>0</v>
      </c>
      <c r="FH357" s="448">
        <f t="shared" si="476"/>
        <v>0</v>
      </c>
      <c r="FI357" s="448">
        <f t="shared" si="476"/>
        <v>0</v>
      </c>
      <c r="FJ357" s="448">
        <f t="shared" si="476"/>
        <v>0</v>
      </c>
      <c r="FK357" s="448">
        <f t="shared" si="476"/>
        <v>0</v>
      </c>
      <c r="FL357" s="448">
        <f t="shared" si="476"/>
        <v>0</v>
      </c>
      <c r="FM357" s="448">
        <f t="shared" si="476"/>
        <v>0</v>
      </c>
      <c r="FN357" s="448">
        <f t="shared" si="476"/>
        <v>0</v>
      </c>
      <c r="FO357" s="448">
        <f t="shared" si="476"/>
        <v>0</v>
      </c>
      <c r="FP357" s="448">
        <f t="shared" si="476"/>
        <v>0</v>
      </c>
      <c r="FQ357" s="448">
        <f t="shared" si="476"/>
        <v>0</v>
      </c>
      <c r="FR357" s="448">
        <f t="shared" si="476"/>
        <v>0</v>
      </c>
    </row>
    <row r="358" spans="160:174" ht="14.4" customHeight="1" x14ac:dyDescent="0.3">
      <c r="FE358" s="450" t="s">
        <v>268</v>
      </c>
      <c r="FF358" s="451">
        <f t="shared" ref="FF358:FR358" si="477">IFERROR(FF356/FF357,0)</f>
        <v>0</v>
      </c>
      <c r="FG358" s="451">
        <f t="shared" si="477"/>
        <v>0</v>
      </c>
      <c r="FH358" s="451">
        <f t="shared" si="477"/>
        <v>0</v>
      </c>
      <c r="FI358" s="451">
        <f t="shared" si="477"/>
        <v>0</v>
      </c>
      <c r="FJ358" s="451">
        <f t="shared" si="477"/>
        <v>0</v>
      </c>
      <c r="FK358" s="451">
        <f t="shared" si="477"/>
        <v>0</v>
      </c>
      <c r="FL358" s="451">
        <f t="shared" si="477"/>
        <v>0</v>
      </c>
      <c r="FM358" s="451">
        <f t="shared" si="477"/>
        <v>0</v>
      </c>
      <c r="FN358" s="451">
        <f t="shared" si="477"/>
        <v>0</v>
      </c>
      <c r="FO358" s="451">
        <f t="shared" si="477"/>
        <v>0</v>
      </c>
      <c r="FP358" s="451">
        <f t="shared" si="477"/>
        <v>0</v>
      </c>
      <c r="FQ358" s="451">
        <f t="shared" si="477"/>
        <v>0</v>
      </c>
      <c r="FR358" s="451">
        <f t="shared" si="477"/>
        <v>0</v>
      </c>
    </row>
    <row r="361" spans="160:174" ht="14.4" customHeight="1" thickBot="1" x14ac:dyDescent="0.35">
      <c r="FE361" s="453" t="s">
        <v>269</v>
      </c>
      <c r="FF361" s="454"/>
      <c r="FG361" s="454"/>
      <c r="FH361" s="454"/>
      <c r="FI361" s="454"/>
      <c r="FJ361" s="454"/>
      <c r="FK361" s="454"/>
      <c r="FL361" s="454"/>
      <c r="FM361" s="454"/>
      <c r="FN361" s="454"/>
      <c r="FO361" s="454"/>
      <c r="FP361" s="454"/>
      <c r="FQ361" s="454"/>
      <c r="FR361" s="454"/>
    </row>
    <row r="362" spans="160:174" ht="14.4" customHeight="1" thickTop="1" thickBot="1" x14ac:dyDescent="0.35">
      <c r="FE362" s="455" t="s">
        <v>270</v>
      </c>
      <c r="FF362" s="456" t="e">
        <f t="shared" ref="FF362:FR362" si="478">FF205/FF201</f>
        <v>#DIV/0!</v>
      </c>
      <c r="FG362" s="456" t="e">
        <f t="shared" si="478"/>
        <v>#DIV/0!</v>
      </c>
      <c r="FH362" s="456" t="e">
        <f t="shared" si="478"/>
        <v>#DIV/0!</v>
      </c>
      <c r="FI362" s="456" t="e">
        <f t="shared" si="478"/>
        <v>#DIV/0!</v>
      </c>
      <c r="FJ362" s="456" t="e">
        <f t="shared" si="478"/>
        <v>#DIV/0!</v>
      </c>
      <c r="FK362" s="456" t="e">
        <f t="shared" si="478"/>
        <v>#DIV/0!</v>
      </c>
      <c r="FL362" s="456" t="e">
        <f t="shared" si="478"/>
        <v>#DIV/0!</v>
      </c>
      <c r="FM362" s="456" t="e">
        <f t="shared" si="478"/>
        <v>#DIV/0!</v>
      </c>
      <c r="FN362" s="456" t="e">
        <f t="shared" si="478"/>
        <v>#DIV/0!</v>
      </c>
      <c r="FO362" s="456" t="e">
        <f t="shared" si="478"/>
        <v>#DIV/0!</v>
      </c>
      <c r="FP362" s="456" t="e">
        <f t="shared" si="478"/>
        <v>#DIV/0!</v>
      </c>
      <c r="FQ362" s="456" t="e">
        <f t="shared" si="478"/>
        <v>#DIV/0!</v>
      </c>
      <c r="FR362" s="456" t="e">
        <f t="shared" si="478"/>
        <v>#DIV/0!</v>
      </c>
    </row>
    <row r="363" spans="160:174" ht="14.4" customHeight="1" thickTop="1" x14ac:dyDescent="0.3">
      <c r="FE363" s="457" t="s">
        <v>271</v>
      </c>
      <c r="FF363" s="458" t="e">
        <f t="shared" ref="FF363:FR363" si="479">FF207+FF341</f>
        <v>#DIV/0!</v>
      </c>
      <c r="FG363" s="458" t="e">
        <f t="shared" si="479"/>
        <v>#DIV/0!</v>
      </c>
      <c r="FH363" s="458" t="e">
        <f t="shared" si="479"/>
        <v>#DIV/0!</v>
      </c>
      <c r="FI363" s="458" t="e">
        <f t="shared" si="479"/>
        <v>#DIV/0!</v>
      </c>
      <c r="FJ363" s="458" t="e">
        <f t="shared" si="479"/>
        <v>#DIV/0!</v>
      </c>
      <c r="FK363" s="458" t="e">
        <f t="shared" si="479"/>
        <v>#DIV/0!</v>
      </c>
      <c r="FL363" s="458" t="e">
        <f t="shared" si="479"/>
        <v>#DIV/0!</v>
      </c>
      <c r="FM363" s="458" t="e">
        <f t="shared" si="479"/>
        <v>#DIV/0!</v>
      </c>
      <c r="FN363" s="458" t="e">
        <f t="shared" si="479"/>
        <v>#DIV/0!</v>
      </c>
      <c r="FO363" s="458" t="e">
        <f t="shared" si="479"/>
        <v>#DIV/0!</v>
      </c>
      <c r="FP363" s="458" t="e">
        <f t="shared" si="479"/>
        <v>#DIV/0!</v>
      </c>
      <c r="FQ363" s="458" t="e">
        <f t="shared" si="479"/>
        <v>#DIV/0!</v>
      </c>
      <c r="FR363" s="458" t="e">
        <f t="shared" si="479"/>
        <v>#DIV/0!</v>
      </c>
    </row>
    <row r="364" spans="160:174" ht="14.4" customHeight="1" x14ac:dyDescent="0.3">
      <c r="FE364" s="457" t="s">
        <v>272</v>
      </c>
      <c r="FF364" s="458" t="e">
        <f>FF363/FF362</f>
        <v>#DIV/0!</v>
      </c>
      <c r="FG364" s="458" t="e">
        <f t="shared" ref="FG364:FR364" si="480">FG363/FG362</f>
        <v>#DIV/0!</v>
      </c>
      <c r="FH364" s="458" t="e">
        <f t="shared" si="480"/>
        <v>#DIV/0!</v>
      </c>
      <c r="FI364" s="458" t="e">
        <f t="shared" si="480"/>
        <v>#DIV/0!</v>
      </c>
      <c r="FJ364" s="458" t="e">
        <f t="shared" si="480"/>
        <v>#DIV/0!</v>
      </c>
      <c r="FK364" s="458" t="e">
        <f t="shared" si="480"/>
        <v>#DIV/0!</v>
      </c>
      <c r="FL364" s="458" t="e">
        <f t="shared" si="480"/>
        <v>#DIV/0!</v>
      </c>
      <c r="FM364" s="458" t="e">
        <f t="shared" si="480"/>
        <v>#DIV/0!</v>
      </c>
      <c r="FN364" s="458" t="e">
        <f t="shared" si="480"/>
        <v>#DIV/0!</v>
      </c>
      <c r="FO364" s="458" t="e">
        <f t="shared" si="480"/>
        <v>#DIV/0!</v>
      </c>
      <c r="FP364" s="458" t="e">
        <f t="shared" si="480"/>
        <v>#DIV/0!</v>
      </c>
      <c r="FQ364" s="458" t="e">
        <f t="shared" si="480"/>
        <v>#DIV/0!</v>
      </c>
      <c r="FR364" s="458" t="e">
        <f t="shared" si="480"/>
        <v>#DIV/0!</v>
      </c>
    </row>
    <row r="365" spans="160:174" ht="14.4" customHeight="1" thickBot="1" x14ac:dyDescent="0.35">
      <c r="FE365" s="457" t="s">
        <v>273</v>
      </c>
      <c r="FF365" s="458" t="e">
        <f t="shared" ref="FF365:FR365" si="481">FF364*(FF204/FF201)</f>
        <v>#DIV/0!</v>
      </c>
      <c r="FG365" s="458" t="e">
        <f t="shared" si="481"/>
        <v>#DIV/0!</v>
      </c>
      <c r="FH365" s="458" t="e">
        <f t="shared" si="481"/>
        <v>#DIV/0!</v>
      </c>
      <c r="FI365" s="458" t="e">
        <f t="shared" si="481"/>
        <v>#DIV/0!</v>
      </c>
      <c r="FJ365" s="458" t="e">
        <f t="shared" si="481"/>
        <v>#DIV/0!</v>
      </c>
      <c r="FK365" s="458" t="e">
        <f t="shared" si="481"/>
        <v>#DIV/0!</v>
      </c>
      <c r="FL365" s="458" t="e">
        <f t="shared" si="481"/>
        <v>#DIV/0!</v>
      </c>
      <c r="FM365" s="458" t="e">
        <f t="shared" si="481"/>
        <v>#DIV/0!</v>
      </c>
      <c r="FN365" s="458" t="e">
        <f t="shared" si="481"/>
        <v>#DIV/0!</v>
      </c>
      <c r="FO365" s="458" t="e">
        <f t="shared" si="481"/>
        <v>#DIV/0!</v>
      </c>
      <c r="FP365" s="458" t="e">
        <f t="shared" si="481"/>
        <v>#DIV/0!</v>
      </c>
      <c r="FQ365" s="458" t="e">
        <f t="shared" si="481"/>
        <v>#DIV/0!</v>
      </c>
      <c r="FR365" s="458" t="e">
        <f t="shared" si="481"/>
        <v>#DIV/0!</v>
      </c>
    </row>
    <row r="366" spans="160:174" ht="14.4" customHeight="1" thickTop="1" x14ac:dyDescent="0.3">
      <c r="FE366" s="455" t="s">
        <v>274</v>
      </c>
      <c r="FF366" s="459" t="e">
        <f>FF364-FF365</f>
        <v>#DIV/0!</v>
      </c>
      <c r="FG366" s="459" t="e">
        <f t="shared" ref="FG366:FR366" si="482">FG364-FG365</f>
        <v>#DIV/0!</v>
      </c>
      <c r="FH366" s="459" t="e">
        <f t="shared" si="482"/>
        <v>#DIV/0!</v>
      </c>
      <c r="FI366" s="459" t="e">
        <f t="shared" si="482"/>
        <v>#DIV/0!</v>
      </c>
      <c r="FJ366" s="459" t="e">
        <f t="shared" si="482"/>
        <v>#DIV/0!</v>
      </c>
      <c r="FK366" s="459" t="e">
        <f t="shared" si="482"/>
        <v>#DIV/0!</v>
      </c>
      <c r="FL366" s="459" t="e">
        <f t="shared" si="482"/>
        <v>#DIV/0!</v>
      </c>
      <c r="FM366" s="459" t="e">
        <f t="shared" si="482"/>
        <v>#DIV/0!</v>
      </c>
      <c r="FN366" s="459" t="e">
        <f t="shared" si="482"/>
        <v>#DIV/0!</v>
      </c>
      <c r="FO366" s="459" t="e">
        <f t="shared" si="482"/>
        <v>#DIV/0!</v>
      </c>
      <c r="FP366" s="459" t="e">
        <f t="shared" si="482"/>
        <v>#DIV/0!</v>
      </c>
      <c r="FQ366" s="459" t="e">
        <f t="shared" si="482"/>
        <v>#DIV/0!</v>
      </c>
      <c r="FR366" s="459" t="e">
        <f t="shared" si="482"/>
        <v>#DIV/0!</v>
      </c>
    </row>
    <row r="367" spans="160:174" ht="14.4" customHeight="1" x14ac:dyDescent="0.3">
      <c r="FE367" s="460" t="s">
        <v>275</v>
      </c>
      <c r="FF367" s="458" t="e">
        <f>ROUND(FF366-FF363,0)</f>
        <v>#DIV/0!</v>
      </c>
      <c r="FG367" s="458" t="e">
        <f t="shared" ref="FG367:FR367" si="483">ROUND(FG366-FG363,0)</f>
        <v>#DIV/0!</v>
      </c>
      <c r="FH367" s="458" t="e">
        <f t="shared" si="483"/>
        <v>#DIV/0!</v>
      </c>
      <c r="FI367" s="458" t="e">
        <f t="shared" si="483"/>
        <v>#DIV/0!</v>
      </c>
      <c r="FJ367" s="458" t="e">
        <f t="shared" si="483"/>
        <v>#DIV/0!</v>
      </c>
      <c r="FK367" s="458" t="e">
        <f t="shared" si="483"/>
        <v>#DIV/0!</v>
      </c>
      <c r="FL367" s="458" t="e">
        <f t="shared" si="483"/>
        <v>#DIV/0!</v>
      </c>
      <c r="FM367" s="458" t="e">
        <f t="shared" si="483"/>
        <v>#DIV/0!</v>
      </c>
      <c r="FN367" s="458" t="e">
        <f t="shared" si="483"/>
        <v>#DIV/0!</v>
      </c>
      <c r="FO367" s="458" t="e">
        <f t="shared" si="483"/>
        <v>#DIV/0!</v>
      </c>
      <c r="FP367" s="458" t="e">
        <f t="shared" si="483"/>
        <v>#DIV/0!</v>
      </c>
      <c r="FQ367" s="458" t="e">
        <f t="shared" si="483"/>
        <v>#DIV/0!</v>
      </c>
      <c r="FR367" s="458" t="e">
        <f t="shared" si="483"/>
        <v>#DIV/0!</v>
      </c>
    </row>
    <row r="371" spans="161:173" ht="14.4" customHeight="1" x14ac:dyDescent="0.3">
      <c r="FF371" s="468" t="e">
        <f>FF364/30.5</f>
        <v>#DIV/0!</v>
      </c>
      <c r="FG371" s="468" t="e">
        <f t="shared" ref="FG371:FQ371" si="484">FG364/30.5</f>
        <v>#DIV/0!</v>
      </c>
      <c r="FH371" s="468" t="e">
        <f t="shared" si="484"/>
        <v>#DIV/0!</v>
      </c>
      <c r="FI371" s="468" t="e">
        <f t="shared" si="484"/>
        <v>#DIV/0!</v>
      </c>
      <c r="FJ371" s="468" t="e">
        <f t="shared" si="484"/>
        <v>#DIV/0!</v>
      </c>
      <c r="FK371" s="468" t="e">
        <f t="shared" si="484"/>
        <v>#DIV/0!</v>
      </c>
      <c r="FL371" s="468" t="e">
        <f t="shared" si="484"/>
        <v>#DIV/0!</v>
      </c>
      <c r="FM371" s="468" t="e">
        <f t="shared" si="484"/>
        <v>#DIV/0!</v>
      </c>
      <c r="FN371" s="468" t="e">
        <f t="shared" si="484"/>
        <v>#DIV/0!</v>
      </c>
      <c r="FO371" s="468" t="e">
        <f t="shared" si="484"/>
        <v>#DIV/0!</v>
      </c>
      <c r="FP371" s="468" t="e">
        <f t="shared" si="484"/>
        <v>#DIV/0!</v>
      </c>
      <c r="FQ371" s="468" t="e">
        <f t="shared" si="484"/>
        <v>#DIV/0!</v>
      </c>
    </row>
    <row r="374" spans="161:173" ht="14.4" customHeight="1" x14ac:dyDescent="0.3">
      <c r="FF374" s="244" t="s">
        <v>437</v>
      </c>
    </row>
    <row r="375" spans="161:173" ht="14.4" customHeight="1" x14ac:dyDescent="0.3">
      <c r="FF375" s="469" t="str">
        <f t="shared" ref="FF375:FQ375" si="485">+FF200</f>
        <v>Mes 1</v>
      </c>
      <c r="FG375" s="469" t="str">
        <f t="shared" si="485"/>
        <v>Mes 2</v>
      </c>
      <c r="FH375" s="469" t="str">
        <f t="shared" si="485"/>
        <v>Mes 3</v>
      </c>
      <c r="FI375" s="469" t="str">
        <f t="shared" si="485"/>
        <v>Mes 4</v>
      </c>
      <c r="FJ375" s="469" t="str">
        <f t="shared" si="485"/>
        <v>Mes 5</v>
      </c>
      <c r="FK375" s="469" t="str">
        <f t="shared" si="485"/>
        <v>Mes 6</v>
      </c>
      <c r="FL375" s="469" t="str">
        <f t="shared" si="485"/>
        <v>Mes 7</v>
      </c>
      <c r="FM375" s="469" t="str">
        <f t="shared" si="485"/>
        <v>Mes 8</v>
      </c>
      <c r="FN375" s="469" t="str">
        <f t="shared" si="485"/>
        <v>Mes 9</v>
      </c>
      <c r="FO375" s="469" t="str">
        <f t="shared" si="485"/>
        <v>Mes 10</v>
      </c>
      <c r="FP375" s="469" t="str">
        <f t="shared" si="485"/>
        <v>Mes 11</v>
      </c>
      <c r="FQ375" s="469" t="str">
        <f t="shared" si="485"/>
        <v>Mes 12</v>
      </c>
    </row>
    <row r="376" spans="161:173" ht="14.4" customHeight="1" x14ac:dyDescent="0.3">
      <c r="FF376" s="470">
        <v>35.574977777777796</v>
      </c>
      <c r="FG376" s="470">
        <v>35.632919444444397</v>
      </c>
      <c r="FH376" s="470">
        <v>35.690861111111097</v>
      </c>
      <c r="FI376" s="470">
        <v>35.748802777777797</v>
      </c>
      <c r="FJ376" s="470">
        <v>35.806744444444398</v>
      </c>
      <c r="FK376" s="470">
        <v>35.864686111111098</v>
      </c>
      <c r="FL376" s="470">
        <v>35.922627777777798</v>
      </c>
      <c r="FM376" s="470">
        <v>35.980569444444399</v>
      </c>
      <c r="FN376" s="470">
        <v>36.038511111111099</v>
      </c>
      <c r="FO376" s="470">
        <v>36.096452777777202</v>
      </c>
      <c r="FP376" s="470">
        <v>36.154394444443803</v>
      </c>
      <c r="FQ376" s="470">
        <v>36.212336111110403</v>
      </c>
    </row>
    <row r="380" spans="161:173" ht="14.4" customHeight="1" x14ac:dyDescent="0.3">
      <c r="FE380" s="460" t="s">
        <v>276</v>
      </c>
      <c r="FF380" s="471">
        <v>0.28499999999999998</v>
      </c>
      <c r="FG380" s="364">
        <f>FF380</f>
        <v>0.28499999999999998</v>
      </c>
      <c r="FH380" s="364">
        <f t="shared" ref="FH380:FQ380" si="486">FG380</f>
        <v>0.28499999999999998</v>
      </c>
      <c r="FI380" s="364">
        <f t="shared" si="486"/>
        <v>0.28499999999999998</v>
      </c>
      <c r="FJ380" s="364">
        <f t="shared" si="486"/>
        <v>0.28499999999999998</v>
      </c>
      <c r="FK380" s="364">
        <f t="shared" si="486"/>
        <v>0.28499999999999998</v>
      </c>
      <c r="FL380" s="364">
        <f t="shared" si="486"/>
        <v>0.28499999999999998</v>
      </c>
      <c r="FM380" s="364">
        <f t="shared" si="486"/>
        <v>0.28499999999999998</v>
      </c>
      <c r="FN380" s="364">
        <f t="shared" si="486"/>
        <v>0.28499999999999998</v>
      </c>
      <c r="FO380" s="364">
        <f t="shared" si="486"/>
        <v>0.28499999999999998</v>
      </c>
      <c r="FP380" s="364">
        <f t="shared" si="486"/>
        <v>0.28499999999999998</v>
      </c>
      <c r="FQ380" s="364">
        <f t="shared" si="486"/>
        <v>0.28499999999999998</v>
      </c>
    </row>
    <row r="382" spans="161:173" ht="14.4" customHeight="1" x14ac:dyDescent="0.3">
      <c r="FE382" s="244" t="s">
        <v>277</v>
      </c>
    </row>
    <row r="383" spans="161:173" ht="14.4" customHeight="1" x14ac:dyDescent="0.3">
      <c r="FE383" s="244" t="s">
        <v>278</v>
      </c>
      <c r="FF383" s="472">
        <f>HI9</f>
        <v>0</v>
      </c>
    </row>
    <row r="384" spans="161:173" ht="14.4" customHeight="1" x14ac:dyDescent="0.3">
      <c r="FE384" s="244" t="s">
        <v>279</v>
      </c>
      <c r="FF384" s="472">
        <v>0</v>
      </c>
    </row>
    <row r="385" spans="161:162" ht="14.4" customHeight="1" x14ac:dyDescent="0.3">
      <c r="FE385" s="244" t="s">
        <v>434</v>
      </c>
      <c r="FF385" s="364">
        <v>0</v>
      </c>
    </row>
  </sheetData>
  <sheetProtection algorithmName="SHA-512" hashValue="7AlcWUM36/r+PT91QhsxkMz20vOX9RkQS5WO7OKPkLpiWxlL82Hrq/UvFivltYSlTvslTQPKROQikueeQVyl6Q==" saltValue="bTT+9pdjhBwnXyWL1jThaA==" spinCount="100000" sheet="1" objects="1" scenarios="1" selectLockedCells="1"/>
  <protectedRanges>
    <protectedRange password="D75A" sqref="HN56:HN67" name="Rango1_3_3_3"/>
  </protectedRanges>
  <mergeCells count="212">
    <mergeCell ref="D17:F17"/>
    <mergeCell ref="HE113:HF113"/>
    <mergeCell ref="HE107:HF107"/>
    <mergeCell ref="HE108:HF108"/>
    <mergeCell ref="HE109:HF109"/>
    <mergeCell ref="HE110:HF110"/>
    <mergeCell ref="HE111:HF111"/>
    <mergeCell ref="HE112:HF112"/>
    <mergeCell ref="FV2:GB3"/>
    <mergeCell ref="CI2:CT3"/>
    <mergeCell ref="CI4:CT4"/>
    <mergeCell ref="CV85:CV101"/>
    <mergeCell ref="CW85:CW101"/>
    <mergeCell ref="CY55:DA55"/>
    <mergeCell ref="CV64:CV66"/>
    <mergeCell ref="CW64:CW66"/>
    <mergeCell ref="CV67:CV75"/>
    <mergeCell ref="CW67:CW75"/>
    <mergeCell ref="DC55:DN55"/>
    <mergeCell ref="DP85:DP101"/>
    <mergeCell ref="DQ85:DQ101"/>
    <mergeCell ref="DS56:DU56"/>
    <mergeCell ref="DP59:DP63"/>
    <mergeCell ref="DQ59:DQ63"/>
    <mergeCell ref="CB59:CB63"/>
    <mergeCell ref="CC59:CC63"/>
    <mergeCell ref="CV59:CV63"/>
    <mergeCell ref="CW59:CW63"/>
    <mergeCell ref="BK56:BM56"/>
    <mergeCell ref="CY56:DA56"/>
    <mergeCell ref="BO53:BZ54"/>
    <mergeCell ref="CE55:CG55"/>
    <mergeCell ref="DP29:DP41"/>
    <mergeCell ref="CI53:CT54"/>
    <mergeCell ref="CI55:CT55"/>
    <mergeCell ref="CE56:CG56"/>
    <mergeCell ref="CB8:CB12"/>
    <mergeCell ref="CC8:CC12"/>
    <mergeCell ref="CB13:CB17"/>
    <mergeCell ref="CC13:CC17"/>
    <mergeCell ref="CB18:CB28"/>
    <mergeCell ref="BO55:BZ55"/>
    <mergeCell ref="BO2:BZ3"/>
    <mergeCell ref="CC18:CC28"/>
    <mergeCell ref="CB29:CB41"/>
    <mergeCell ref="CC29:CC41"/>
    <mergeCell ref="CB42:CB50"/>
    <mergeCell ref="CC42:CC50"/>
    <mergeCell ref="DC2:DN3"/>
    <mergeCell ref="DC4:DN4"/>
    <mergeCell ref="CY5:DA5"/>
    <mergeCell ref="CY4:DA4"/>
    <mergeCell ref="CV29:CV41"/>
    <mergeCell ref="CW29:CW41"/>
    <mergeCell ref="CE5:CG5"/>
    <mergeCell ref="X4:AG5"/>
    <mergeCell ref="AT6:AT10"/>
    <mergeCell ref="AU6:AU10"/>
    <mergeCell ref="X6:AC6"/>
    <mergeCell ref="AD6:AF6"/>
    <mergeCell ref="AM4:AN4"/>
    <mergeCell ref="AH4:AK4"/>
    <mergeCell ref="CW18:CW28"/>
    <mergeCell ref="CE4:CG4"/>
    <mergeCell ref="CV7:CW7"/>
    <mergeCell ref="CV13:CV17"/>
    <mergeCell ref="CW13:CW17"/>
    <mergeCell ref="CV18:CV28"/>
    <mergeCell ref="X2:AK3"/>
    <mergeCell ref="AM2:AU3"/>
    <mergeCell ref="BK5:BM5"/>
    <mergeCell ref="CB7:CC7"/>
    <mergeCell ref="AT11:AT15"/>
    <mergeCell ref="AU11:AU15"/>
    <mergeCell ref="AT16:AT26"/>
    <mergeCell ref="AU16:AU26"/>
    <mergeCell ref="AT27:AT39"/>
    <mergeCell ref="AU27:AU39"/>
    <mergeCell ref="BI42:BI50"/>
    <mergeCell ref="AD23:AE23"/>
    <mergeCell ref="BI29:BI41"/>
    <mergeCell ref="BO4:BZ4"/>
    <mergeCell ref="BI8:BI12"/>
    <mergeCell ref="BI13:BI17"/>
    <mergeCell ref="BI18:BI28"/>
    <mergeCell ref="BH7:BI7"/>
    <mergeCell ref="BH8:BH12"/>
    <mergeCell ref="BH13:BH17"/>
    <mergeCell ref="BH18:BH28"/>
    <mergeCell ref="BH29:BH41"/>
    <mergeCell ref="AU73:AU81"/>
    <mergeCell ref="AT56:AT60"/>
    <mergeCell ref="AU56:AU60"/>
    <mergeCell ref="BI67:BI75"/>
    <mergeCell ref="BI76:BI84"/>
    <mergeCell ref="H18:J18"/>
    <mergeCell ref="AT40:AT48"/>
    <mergeCell ref="AU40:AU48"/>
    <mergeCell ref="AD22:AE22"/>
    <mergeCell ref="BH42:BH50"/>
    <mergeCell ref="AM54:AU54"/>
    <mergeCell ref="BI85:BI101"/>
    <mergeCell ref="CB76:CB84"/>
    <mergeCell ref="CC76:CC84"/>
    <mergeCell ref="CB85:CB101"/>
    <mergeCell ref="CC85:CC101"/>
    <mergeCell ref="CB64:CB66"/>
    <mergeCell ref="CC64:CC66"/>
    <mergeCell ref="CB67:CB75"/>
    <mergeCell ref="CC67:CC75"/>
    <mergeCell ref="BH67:BH75"/>
    <mergeCell ref="BH76:BH84"/>
    <mergeCell ref="BH85:BH101"/>
    <mergeCell ref="BH59:BH63"/>
    <mergeCell ref="BI59:BI63"/>
    <mergeCell ref="BI64:BI66"/>
    <mergeCell ref="BH64:BH66"/>
    <mergeCell ref="AT82:AT98"/>
    <mergeCell ref="AU82:AU98"/>
    <mergeCell ref="AT61:AT63"/>
    <mergeCell ref="AU61:AU63"/>
    <mergeCell ref="AT64:AT72"/>
    <mergeCell ref="AU64:AU72"/>
    <mergeCell ref="AT73:AT81"/>
    <mergeCell ref="DS5:DU5"/>
    <mergeCell ref="DP7:DQ7"/>
    <mergeCell ref="DP8:DP12"/>
    <mergeCell ref="DQ8:DQ12"/>
    <mergeCell ref="DP13:DP17"/>
    <mergeCell ref="DQ13:DQ17"/>
    <mergeCell ref="CV76:CV84"/>
    <mergeCell ref="CV42:CV50"/>
    <mergeCell ref="CW42:CW50"/>
    <mergeCell ref="DC53:DN54"/>
    <mergeCell ref="CV8:CV12"/>
    <mergeCell ref="CW8:CW12"/>
    <mergeCell ref="DP42:DP50"/>
    <mergeCell ref="DQ42:DQ50"/>
    <mergeCell ref="DS55:DU55"/>
    <mergeCell ref="CW76:CW84"/>
    <mergeCell ref="EQ2:FB3"/>
    <mergeCell ref="EM4:EO4"/>
    <mergeCell ref="EQ4:FB4"/>
    <mergeCell ref="EM5:EO5"/>
    <mergeCell ref="EJ7:EK7"/>
    <mergeCell ref="DP67:DP75"/>
    <mergeCell ref="DQ67:DQ75"/>
    <mergeCell ref="DP76:DP84"/>
    <mergeCell ref="DQ76:DQ84"/>
    <mergeCell ref="DW53:EH54"/>
    <mergeCell ref="DW55:EH55"/>
    <mergeCell ref="EJ29:EJ41"/>
    <mergeCell ref="EK29:EK41"/>
    <mergeCell ref="EJ42:EJ50"/>
    <mergeCell ref="EK42:EK50"/>
    <mergeCell ref="EQ53:FB54"/>
    <mergeCell ref="EJ8:EJ12"/>
    <mergeCell ref="EK8:EK12"/>
    <mergeCell ref="EJ13:EJ17"/>
    <mergeCell ref="DQ29:DQ41"/>
    <mergeCell ref="DP64:DP66"/>
    <mergeCell ref="DW2:EH3"/>
    <mergeCell ref="DS4:DU4"/>
    <mergeCell ref="DW4:EH4"/>
    <mergeCell ref="B5:D5"/>
    <mergeCell ref="FV33:GB34"/>
    <mergeCell ref="FV64:GB65"/>
    <mergeCell ref="FV95:GB96"/>
    <mergeCell ref="AY20:BE20"/>
    <mergeCell ref="AY4:BE4"/>
    <mergeCell ref="AY2:BE3"/>
    <mergeCell ref="FE2:FR3"/>
    <mergeCell ref="FE29:FR30"/>
    <mergeCell ref="EJ85:EJ101"/>
    <mergeCell ref="EK85:EK101"/>
    <mergeCell ref="EJ64:EJ66"/>
    <mergeCell ref="EK64:EK66"/>
    <mergeCell ref="EJ67:EJ75"/>
    <mergeCell ref="EK67:EK75"/>
    <mergeCell ref="EJ76:EJ84"/>
    <mergeCell ref="EK59:EK63"/>
    <mergeCell ref="EK76:EK84"/>
    <mergeCell ref="B2:R3"/>
    <mergeCell ref="EK13:EK17"/>
    <mergeCell ref="EJ18:EJ28"/>
    <mergeCell ref="EK18:EK28"/>
    <mergeCell ref="DP18:DP28"/>
    <mergeCell ref="DQ64:DQ66"/>
    <mergeCell ref="HM2:IM3"/>
    <mergeCell ref="H11:J11"/>
    <mergeCell ref="O11:R11"/>
    <mergeCell ref="HD104:HG104"/>
    <mergeCell ref="HD2:HH3"/>
    <mergeCell ref="HD87:HG87"/>
    <mergeCell ref="HD88:HG88"/>
    <mergeCell ref="HD100:HG100"/>
    <mergeCell ref="HD101:HG101"/>
    <mergeCell ref="HD102:HG102"/>
    <mergeCell ref="HE103:HF103"/>
    <mergeCell ref="HD4:HE4"/>
    <mergeCell ref="HD5:HD8"/>
    <mergeCell ref="HD11:HH11"/>
    <mergeCell ref="HF12:HG12"/>
    <mergeCell ref="HD13:HH13"/>
    <mergeCell ref="HD80:HG80"/>
    <mergeCell ref="EM55:EO55"/>
    <mergeCell ref="EQ55:FB55"/>
    <mergeCell ref="EM56:EO56"/>
    <mergeCell ref="EJ59:EJ63"/>
    <mergeCell ref="H5:M5"/>
    <mergeCell ref="DQ18:DQ28"/>
    <mergeCell ref="GL2:HA3"/>
  </mergeCells>
  <phoneticPr fontId="17" type="noConversion"/>
  <conditionalFormatting sqref="X4:AG5">
    <cfRule type="containsText" dxfId="2" priority="1" operator="containsText" text="ESCENARIO OPTIMISTA">
      <formula>NOT(ISERROR(SEARCH("ESCENARIO OPTIMISTA",X4)))</formula>
    </cfRule>
    <cfRule type="containsText" dxfId="1" priority="2" operator="containsText" text="ESCENARIO PROBABLE">
      <formula>NOT(ISERROR(SEARCH("ESCENARIO PROBABLE",X4)))</formula>
    </cfRule>
    <cfRule type="containsText" dxfId="0" priority="3" operator="containsText" text="ESCENARIO PESIMISTA">
      <formula>NOT(ISERROR(SEARCH("ESCENARIO PESIMISTA",X4)))</formula>
    </cfRule>
  </conditionalFormatting>
  <dataValidations count="1">
    <dataValidation type="list" allowBlank="1" showInputMessage="1" showErrorMessage="1" sqref="W8" xr:uid="{EB284D18-C472-4433-BB6A-9D933866EAE7}">
      <formula1>$Y$25:$Y$36</formula1>
    </dataValidation>
  </dataValidations>
  <pageMargins left="0.7" right="0.7" top="0.75" bottom="0.75" header="0.3" footer="0.3"/>
  <pageSetup orientation="portrait" r:id="rId1"/>
  <drawing r:id="rId2"/>
  <legacyDrawing r:id="rId3"/>
  <tableParts count="10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1D684-D643-46CB-A005-849922C8675D}">
  <sheetPr>
    <tabColor theme="8" tint="0.39997558519241921"/>
    <pageSetUpPr autoPageBreaks="0" fitToPage="1"/>
  </sheetPr>
  <dimension ref="A1:G78"/>
  <sheetViews>
    <sheetView showGridLines="0" zoomScaleNormal="100" workbookViewId="0">
      <pane ySplit="9" topLeftCell="A10" activePane="bottomLeft" state="frozen"/>
      <selection activeCell="B9" sqref="B9"/>
      <selection pane="bottomLeft" activeCell="C5" sqref="C5"/>
    </sheetView>
  </sheetViews>
  <sheetFormatPr baseColWidth="10" defaultColWidth="10.33203125" defaultRowHeight="14.4" x14ac:dyDescent="0.3"/>
  <cols>
    <col min="1" max="1" width="10.33203125" style="473"/>
    <col min="2" max="2" width="22.33203125" style="256" customWidth="1"/>
    <col min="3" max="3" width="10.44140625" style="256" customWidth="1"/>
    <col min="4" max="4" width="11.5546875" style="256"/>
    <col min="5" max="6" width="10.6640625" style="256" customWidth="1"/>
    <col min="7" max="7" width="11.109375" style="256" customWidth="1"/>
    <col min="8" max="16384" width="10.33203125" style="473"/>
  </cols>
  <sheetData>
    <row r="1" spans="1:7" ht="30" customHeight="1" thickBot="1" x14ac:dyDescent="0.35">
      <c r="B1" s="474" t="s">
        <v>688</v>
      </c>
      <c r="C1" s="430"/>
      <c r="D1" s="430"/>
      <c r="E1" s="430"/>
      <c r="G1" s="475"/>
    </row>
    <row r="2" spans="1:7" ht="14.4" customHeight="1" thickBot="1" x14ac:dyDescent="0.35">
      <c r="B2" s="476" t="s">
        <v>675</v>
      </c>
      <c r="C2" s="477">
        <f>Parámetros!D9</f>
        <v>0</v>
      </c>
      <c r="D2" s="428"/>
      <c r="G2" s="430"/>
    </row>
    <row r="3" spans="1:7" ht="14.4" customHeight="1" thickBot="1" x14ac:dyDescent="0.35">
      <c r="B3" s="476" t="s">
        <v>674</v>
      </c>
      <c r="C3" s="478">
        <f>Parámetros!D12</f>
        <v>5</v>
      </c>
      <c r="D3" s="428"/>
    </row>
    <row r="4" spans="1:7" ht="14.4" customHeight="1" thickBot="1" x14ac:dyDescent="0.35">
      <c r="B4" s="476" t="s">
        <v>676</v>
      </c>
      <c r="C4" s="479">
        <f>Parámetros!D13</f>
        <v>0.08</v>
      </c>
      <c r="D4" s="428"/>
    </row>
    <row r="5" spans="1:7" ht="14.4" customHeight="1" thickBot="1" x14ac:dyDescent="0.35">
      <c r="B5" s="476" t="s">
        <v>753</v>
      </c>
      <c r="C5" s="153">
        <v>12</v>
      </c>
      <c r="D5" s="428"/>
    </row>
    <row r="6" spans="1:7" ht="14.4" customHeight="1" x14ac:dyDescent="0.3">
      <c r="B6" s="476" t="s">
        <v>754</v>
      </c>
      <c r="C6" s="480">
        <f>C4/C5</f>
        <v>6.6666666666666671E-3</v>
      </c>
      <c r="G6" s="481"/>
    </row>
    <row r="7" spans="1:7" ht="14.4" customHeight="1" thickBot="1" x14ac:dyDescent="0.35">
      <c r="B7" s="476" t="s">
        <v>673</v>
      </c>
      <c r="C7" s="256">
        <f>(C3)*(C5)</f>
        <v>60</v>
      </c>
      <c r="G7" s="481"/>
    </row>
    <row r="8" spans="1:7" ht="14.4" customHeight="1" thickBot="1" x14ac:dyDescent="0.35">
      <c r="B8" s="476" t="s">
        <v>755</v>
      </c>
      <c r="C8" s="154">
        <v>0</v>
      </c>
      <c r="D8" s="428"/>
    </row>
    <row r="9" spans="1:7" ht="14.4" customHeight="1" thickBot="1" x14ac:dyDescent="0.35">
      <c r="D9" s="428"/>
    </row>
    <row r="10" spans="1:7" ht="15" thickBot="1" x14ac:dyDescent="0.35">
      <c r="B10" s="482" t="s">
        <v>667</v>
      </c>
      <c r="C10" s="483" t="s">
        <v>668</v>
      </c>
      <c r="D10" s="484" t="s">
        <v>509</v>
      </c>
      <c r="E10" s="484" t="s">
        <v>669</v>
      </c>
      <c r="F10" s="484" t="s">
        <v>670</v>
      </c>
      <c r="G10" s="484" t="s">
        <v>671</v>
      </c>
    </row>
    <row r="11" spans="1:7" x14ac:dyDescent="0.3">
      <c r="B11" s="485"/>
      <c r="C11" s="486">
        <v>0</v>
      </c>
      <c r="D11" s="487">
        <f>C8</f>
        <v>0</v>
      </c>
      <c r="E11" s="487">
        <v>0</v>
      </c>
      <c r="F11" s="487">
        <v>0</v>
      </c>
      <c r="G11" s="487">
        <f>C2-D11</f>
        <v>0</v>
      </c>
    </row>
    <row r="12" spans="1:7" x14ac:dyDescent="0.3">
      <c r="A12" s="473">
        <v>2023</v>
      </c>
      <c r="B12" s="488" t="str">
        <f>Parámetros!W8</f>
        <v>Abril</v>
      </c>
      <c r="C12" s="485">
        <f t="shared" ref="C12:C23" si="0">C11+1</f>
        <v>1</v>
      </c>
      <c r="D12" s="489">
        <f t="shared" ref="D12:D59" si="1">F12-E12</f>
        <v>0</v>
      </c>
      <c r="E12" s="489">
        <f t="shared" ref="E12:E59" si="2">(G11)*(C$6)</f>
        <v>0</v>
      </c>
      <c r="F12" s="489">
        <f t="shared" ref="F12:F43" si="3">(G$11)*(C$6)/((1-(1+C$6)^-C$7))</f>
        <v>0</v>
      </c>
      <c r="G12" s="489">
        <f t="shared" ref="G12:G59" si="4">G11-D12</f>
        <v>0</v>
      </c>
    </row>
    <row r="13" spans="1:7" x14ac:dyDescent="0.3">
      <c r="A13" s="473">
        <f>A12</f>
        <v>2023</v>
      </c>
      <c r="B13" s="488" t="str">
        <f>Parámetros!W9</f>
        <v>Mayo</v>
      </c>
      <c r="C13" s="485">
        <f t="shared" si="0"/>
        <v>2</v>
      </c>
      <c r="D13" s="489">
        <f t="shared" si="1"/>
        <v>0</v>
      </c>
      <c r="E13" s="489">
        <f t="shared" si="2"/>
        <v>0</v>
      </c>
      <c r="F13" s="489">
        <f t="shared" si="3"/>
        <v>0</v>
      </c>
      <c r="G13" s="489">
        <f t="shared" si="4"/>
        <v>0</v>
      </c>
    </row>
    <row r="14" spans="1:7" x14ac:dyDescent="0.3">
      <c r="A14" s="473">
        <f t="shared" ref="A14:A20" si="5">A13</f>
        <v>2023</v>
      </c>
      <c r="B14" s="488" t="str">
        <f>Parámetros!W10</f>
        <v>Junio</v>
      </c>
      <c r="C14" s="485">
        <f t="shared" si="0"/>
        <v>3</v>
      </c>
      <c r="D14" s="489">
        <f t="shared" si="1"/>
        <v>0</v>
      </c>
      <c r="E14" s="489">
        <f t="shared" si="2"/>
        <v>0</v>
      </c>
      <c r="F14" s="489">
        <f t="shared" si="3"/>
        <v>0</v>
      </c>
      <c r="G14" s="489">
        <f t="shared" si="4"/>
        <v>0</v>
      </c>
    </row>
    <row r="15" spans="1:7" x14ac:dyDescent="0.3">
      <c r="A15" s="473">
        <f t="shared" si="5"/>
        <v>2023</v>
      </c>
      <c r="B15" s="488" t="str">
        <f>Parámetros!W11</f>
        <v>Julio</v>
      </c>
      <c r="C15" s="485">
        <f t="shared" si="0"/>
        <v>4</v>
      </c>
      <c r="D15" s="489">
        <f t="shared" si="1"/>
        <v>0</v>
      </c>
      <c r="E15" s="489">
        <f t="shared" si="2"/>
        <v>0</v>
      </c>
      <c r="F15" s="489">
        <f t="shared" si="3"/>
        <v>0</v>
      </c>
      <c r="G15" s="489">
        <f t="shared" si="4"/>
        <v>0</v>
      </c>
    </row>
    <row r="16" spans="1:7" x14ac:dyDescent="0.3">
      <c r="A16" s="473">
        <f t="shared" si="5"/>
        <v>2023</v>
      </c>
      <c r="B16" s="488" t="str">
        <f>Parámetros!W12</f>
        <v>Agosto</v>
      </c>
      <c r="C16" s="485">
        <f t="shared" si="0"/>
        <v>5</v>
      </c>
      <c r="D16" s="489">
        <f t="shared" si="1"/>
        <v>0</v>
      </c>
      <c r="E16" s="489">
        <f t="shared" si="2"/>
        <v>0</v>
      </c>
      <c r="F16" s="489">
        <f t="shared" si="3"/>
        <v>0</v>
      </c>
      <c r="G16" s="489">
        <f t="shared" si="4"/>
        <v>0</v>
      </c>
    </row>
    <row r="17" spans="1:7" x14ac:dyDescent="0.3">
      <c r="A17" s="473">
        <f t="shared" si="5"/>
        <v>2023</v>
      </c>
      <c r="B17" s="488" t="str">
        <f>Parámetros!W13</f>
        <v>Septiembre</v>
      </c>
      <c r="C17" s="485">
        <f t="shared" si="0"/>
        <v>6</v>
      </c>
      <c r="D17" s="489">
        <f t="shared" si="1"/>
        <v>0</v>
      </c>
      <c r="E17" s="489">
        <f t="shared" si="2"/>
        <v>0</v>
      </c>
      <c r="F17" s="489">
        <f t="shared" si="3"/>
        <v>0</v>
      </c>
      <c r="G17" s="490">
        <f t="shared" si="4"/>
        <v>0</v>
      </c>
    </row>
    <row r="18" spans="1:7" x14ac:dyDescent="0.3">
      <c r="A18" s="473">
        <f t="shared" si="5"/>
        <v>2023</v>
      </c>
      <c r="B18" s="488" t="str">
        <f>Parámetros!W14</f>
        <v>Octubre</v>
      </c>
      <c r="C18" s="485">
        <f t="shared" si="0"/>
        <v>7</v>
      </c>
      <c r="D18" s="489">
        <f t="shared" si="1"/>
        <v>0</v>
      </c>
      <c r="E18" s="489">
        <f t="shared" si="2"/>
        <v>0</v>
      </c>
      <c r="F18" s="489">
        <f t="shared" si="3"/>
        <v>0</v>
      </c>
      <c r="G18" s="490">
        <f t="shared" si="4"/>
        <v>0</v>
      </c>
    </row>
    <row r="19" spans="1:7" x14ac:dyDescent="0.3">
      <c r="A19" s="473">
        <f t="shared" si="5"/>
        <v>2023</v>
      </c>
      <c r="B19" s="488" t="str">
        <f>Parámetros!W15</f>
        <v>Noviembre</v>
      </c>
      <c r="C19" s="485">
        <f t="shared" si="0"/>
        <v>8</v>
      </c>
      <c r="D19" s="489">
        <f t="shared" si="1"/>
        <v>0</v>
      </c>
      <c r="E19" s="489">
        <f t="shared" si="2"/>
        <v>0</v>
      </c>
      <c r="F19" s="489">
        <f t="shared" si="3"/>
        <v>0</v>
      </c>
      <c r="G19" s="489">
        <f t="shared" si="4"/>
        <v>0</v>
      </c>
    </row>
    <row r="20" spans="1:7" x14ac:dyDescent="0.3">
      <c r="A20" s="473">
        <f t="shared" si="5"/>
        <v>2023</v>
      </c>
      <c r="B20" s="488" t="str">
        <f>Parámetros!W16</f>
        <v>Diciembre</v>
      </c>
      <c r="C20" s="485">
        <f t="shared" si="0"/>
        <v>9</v>
      </c>
      <c r="D20" s="489">
        <f t="shared" si="1"/>
        <v>0</v>
      </c>
      <c r="E20" s="489">
        <f t="shared" si="2"/>
        <v>0</v>
      </c>
      <c r="F20" s="489">
        <f t="shared" si="3"/>
        <v>0</v>
      </c>
      <c r="G20" s="489">
        <f t="shared" si="4"/>
        <v>0</v>
      </c>
    </row>
    <row r="21" spans="1:7" x14ac:dyDescent="0.3">
      <c r="A21" s="473">
        <v>2024</v>
      </c>
      <c r="B21" s="488" t="str">
        <f>Parámetros!W17</f>
        <v>Enero</v>
      </c>
      <c r="C21" s="485">
        <f t="shared" si="0"/>
        <v>10</v>
      </c>
      <c r="D21" s="489">
        <f t="shared" si="1"/>
        <v>0</v>
      </c>
      <c r="E21" s="489">
        <f t="shared" si="2"/>
        <v>0</v>
      </c>
      <c r="F21" s="489">
        <f t="shared" si="3"/>
        <v>0</v>
      </c>
      <c r="G21" s="489">
        <f t="shared" si="4"/>
        <v>0</v>
      </c>
    </row>
    <row r="22" spans="1:7" x14ac:dyDescent="0.3">
      <c r="A22" s="473">
        <f>A21</f>
        <v>2024</v>
      </c>
      <c r="B22" s="488" t="str">
        <f>Parámetros!W18</f>
        <v>Febrero</v>
      </c>
      <c r="C22" s="485">
        <f t="shared" si="0"/>
        <v>11</v>
      </c>
      <c r="D22" s="489">
        <f t="shared" si="1"/>
        <v>0</v>
      </c>
      <c r="E22" s="489">
        <f t="shared" si="2"/>
        <v>0</v>
      </c>
      <c r="F22" s="489">
        <f t="shared" si="3"/>
        <v>0</v>
      </c>
      <c r="G22" s="489">
        <f t="shared" si="4"/>
        <v>0</v>
      </c>
    </row>
    <row r="23" spans="1:7" x14ac:dyDescent="0.3">
      <c r="A23" s="473">
        <f t="shared" ref="A23:A32" si="6">A22</f>
        <v>2024</v>
      </c>
      <c r="B23" s="488" t="str">
        <f>Parámetros!W19</f>
        <v>Marzo</v>
      </c>
      <c r="C23" s="485">
        <f t="shared" si="0"/>
        <v>12</v>
      </c>
      <c r="D23" s="489">
        <f t="shared" si="1"/>
        <v>0</v>
      </c>
      <c r="E23" s="489">
        <f t="shared" si="2"/>
        <v>0</v>
      </c>
      <c r="F23" s="489">
        <f t="shared" si="3"/>
        <v>0</v>
      </c>
      <c r="G23" s="489">
        <f t="shared" si="4"/>
        <v>0</v>
      </c>
    </row>
    <row r="24" spans="1:7" x14ac:dyDescent="0.3">
      <c r="A24" s="473">
        <f t="shared" si="6"/>
        <v>2024</v>
      </c>
      <c r="B24" s="488" t="str">
        <f>B12</f>
        <v>Abril</v>
      </c>
      <c r="C24" s="485">
        <v>13</v>
      </c>
      <c r="D24" s="489">
        <f t="shared" si="1"/>
        <v>0</v>
      </c>
      <c r="E24" s="489">
        <f t="shared" si="2"/>
        <v>0</v>
      </c>
      <c r="F24" s="489">
        <f t="shared" si="3"/>
        <v>0</v>
      </c>
      <c r="G24" s="489">
        <f t="shared" si="4"/>
        <v>0</v>
      </c>
    </row>
    <row r="25" spans="1:7" x14ac:dyDescent="0.3">
      <c r="A25" s="473">
        <f t="shared" si="6"/>
        <v>2024</v>
      </c>
      <c r="B25" s="488" t="str">
        <f t="shared" ref="B25:B71" si="7">B13</f>
        <v>Mayo</v>
      </c>
      <c r="C25" s="485">
        <v>14</v>
      </c>
      <c r="D25" s="489">
        <f t="shared" si="1"/>
        <v>0</v>
      </c>
      <c r="E25" s="489">
        <f t="shared" si="2"/>
        <v>0</v>
      </c>
      <c r="F25" s="489">
        <f t="shared" si="3"/>
        <v>0</v>
      </c>
      <c r="G25" s="489">
        <f t="shared" si="4"/>
        <v>0</v>
      </c>
    </row>
    <row r="26" spans="1:7" x14ac:dyDescent="0.3">
      <c r="A26" s="473">
        <f t="shared" si="6"/>
        <v>2024</v>
      </c>
      <c r="B26" s="488" t="str">
        <f t="shared" si="7"/>
        <v>Junio</v>
      </c>
      <c r="C26" s="485">
        <v>15</v>
      </c>
      <c r="D26" s="489">
        <f t="shared" si="1"/>
        <v>0</v>
      </c>
      <c r="E26" s="489">
        <f t="shared" si="2"/>
        <v>0</v>
      </c>
      <c r="F26" s="489">
        <f t="shared" si="3"/>
        <v>0</v>
      </c>
      <c r="G26" s="489">
        <f t="shared" si="4"/>
        <v>0</v>
      </c>
    </row>
    <row r="27" spans="1:7" x14ac:dyDescent="0.3">
      <c r="A27" s="473">
        <f t="shared" si="6"/>
        <v>2024</v>
      </c>
      <c r="B27" s="488" t="str">
        <f t="shared" si="7"/>
        <v>Julio</v>
      </c>
      <c r="C27" s="485">
        <v>16</v>
      </c>
      <c r="D27" s="489">
        <f t="shared" si="1"/>
        <v>0</v>
      </c>
      <c r="E27" s="489">
        <f t="shared" si="2"/>
        <v>0</v>
      </c>
      <c r="F27" s="489">
        <f t="shared" si="3"/>
        <v>0</v>
      </c>
      <c r="G27" s="489">
        <f t="shared" si="4"/>
        <v>0</v>
      </c>
    </row>
    <row r="28" spans="1:7" x14ac:dyDescent="0.3">
      <c r="A28" s="473">
        <f t="shared" si="6"/>
        <v>2024</v>
      </c>
      <c r="B28" s="488" t="str">
        <f t="shared" si="7"/>
        <v>Agosto</v>
      </c>
      <c r="C28" s="485">
        <v>17</v>
      </c>
      <c r="D28" s="489">
        <f t="shared" si="1"/>
        <v>0</v>
      </c>
      <c r="E28" s="489">
        <f t="shared" si="2"/>
        <v>0</v>
      </c>
      <c r="F28" s="489">
        <f t="shared" si="3"/>
        <v>0</v>
      </c>
      <c r="G28" s="489">
        <f t="shared" si="4"/>
        <v>0</v>
      </c>
    </row>
    <row r="29" spans="1:7" x14ac:dyDescent="0.3">
      <c r="A29" s="473">
        <f t="shared" si="6"/>
        <v>2024</v>
      </c>
      <c r="B29" s="488" t="str">
        <f t="shared" si="7"/>
        <v>Septiembre</v>
      </c>
      <c r="C29" s="485">
        <v>18</v>
      </c>
      <c r="D29" s="489">
        <f t="shared" si="1"/>
        <v>0</v>
      </c>
      <c r="E29" s="489">
        <f t="shared" si="2"/>
        <v>0</v>
      </c>
      <c r="F29" s="489">
        <f t="shared" si="3"/>
        <v>0</v>
      </c>
      <c r="G29" s="489">
        <f t="shared" si="4"/>
        <v>0</v>
      </c>
    </row>
    <row r="30" spans="1:7" x14ac:dyDescent="0.3">
      <c r="A30" s="473">
        <f t="shared" si="6"/>
        <v>2024</v>
      </c>
      <c r="B30" s="488" t="str">
        <f t="shared" si="7"/>
        <v>Octubre</v>
      </c>
      <c r="C30" s="485">
        <v>19</v>
      </c>
      <c r="D30" s="489">
        <f t="shared" si="1"/>
        <v>0</v>
      </c>
      <c r="E30" s="489">
        <f t="shared" si="2"/>
        <v>0</v>
      </c>
      <c r="F30" s="489">
        <f t="shared" si="3"/>
        <v>0</v>
      </c>
      <c r="G30" s="489">
        <f t="shared" si="4"/>
        <v>0</v>
      </c>
    </row>
    <row r="31" spans="1:7" x14ac:dyDescent="0.3">
      <c r="A31" s="473">
        <f t="shared" si="6"/>
        <v>2024</v>
      </c>
      <c r="B31" s="488" t="str">
        <f t="shared" si="7"/>
        <v>Noviembre</v>
      </c>
      <c r="C31" s="485">
        <v>20</v>
      </c>
      <c r="D31" s="489">
        <f t="shared" si="1"/>
        <v>0</v>
      </c>
      <c r="E31" s="489">
        <f t="shared" si="2"/>
        <v>0</v>
      </c>
      <c r="F31" s="489">
        <f t="shared" si="3"/>
        <v>0</v>
      </c>
      <c r="G31" s="489">
        <f t="shared" si="4"/>
        <v>0</v>
      </c>
    </row>
    <row r="32" spans="1:7" x14ac:dyDescent="0.3">
      <c r="A32" s="473">
        <f t="shared" si="6"/>
        <v>2024</v>
      </c>
      <c r="B32" s="488" t="str">
        <f t="shared" si="7"/>
        <v>Diciembre</v>
      </c>
      <c r="C32" s="485">
        <v>21</v>
      </c>
      <c r="D32" s="489">
        <f t="shared" si="1"/>
        <v>0</v>
      </c>
      <c r="E32" s="489">
        <f t="shared" si="2"/>
        <v>0</v>
      </c>
      <c r="F32" s="489">
        <f t="shared" si="3"/>
        <v>0</v>
      </c>
      <c r="G32" s="489">
        <f t="shared" si="4"/>
        <v>0</v>
      </c>
    </row>
    <row r="33" spans="1:7" x14ac:dyDescent="0.3">
      <c r="A33" s="473">
        <v>2025</v>
      </c>
      <c r="B33" s="488" t="str">
        <f t="shared" si="7"/>
        <v>Enero</v>
      </c>
      <c r="C33" s="485">
        <v>22</v>
      </c>
      <c r="D33" s="489">
        <f t="shared" si="1"/>
        <v>0</v>
      </c>
      <c r="E33" s="489">
        <f t="shared" si="2"/>
        <v>0</v>
      </c>
      <c r="F33" s="489">
        <f t="shared" si="3"/>
        <v>0</v>
      </c>
      <c r="G33" s="489">
        <f t="shared" si="4"/>
        <v>0</v>
      </c>
    </row>
    <row r="34" spans="1:7" x14ac:dyDescent="0.3">
      <c r="A34" s="473">
        <f>A33</f>
        <v>2025</v>
      </c>
      <c r="B34" s="488" t="str">
        <f t="shared" si="7"/>
        <v>Febrero</v>
      </c>
      <c r="C34" s="485">
        <v>23</v>
      </c>
      <c r="D34" s="489">
        <f t="shared" si="1"/>
        <v>0</v>
      </c>
      <c r="E34" s="489">
        <f t="shared" si="2"/>
        <v>0</v>
      </c>
      <c r="F34" s="489">
        <f t="shared" si="3"/>
        <v>0</v>
      </c>
      <c r="G34" s="489">
        <f t="shared" si="4"/>
        <v>0</v>
      </c>
    </row>
    <row r="35" spans="1:7" x14ac:dyDescent="0.3">
      <c r="A35" s="473">
        <f t="shared" ref="A35:A44" si="8">A34</f>
        <v>2025</v>
      </c>
      <c r="B35" s="488" t="str">
        <f t="shared" si="7"/>
        <v>Marzo</v>
      </c>
      <c r="C35" s="485">
        <v>24</v>
      </c>
      <c r="D35" s="489">
        <f t="shared" si="1"/>
        <v>0</v>
      </c>
      <c r="E35" s="489">
        <f t="shared" si="2"/>
        <v>0</v>
      </c>
      <c r="F35" s="489">
        <f t="shared" si="3"/>
        <v>0</v>
      </c>
      <c r="G35" s="489">
        <f t="shared" si="4"/>
        <v>0</v>
      </c>
    </row>
    <row r="36" spans="1:7" x14ac:dyDescent="0.3">
      <c r="A36" s="473">
        <f t="shared" si="8"/>
        <v>2025</v>
      </c>
      <c r="B36" s="488" t="str">
        <f t="shared" si="7"/>
        <v>Abril</v>
      </c>
      <c r="C36" s="485">
        <v>25</v>
      </c>
      <c r="D36" s="489">
        <f t="shared" si="1"/>
        <v>0</v>
      </c>
      <c r="E36" s="489">
        <f t="shared" si="2"/>
        <v>0</v>
      </c>
      <c r="F36" s="489">
        <f t="shared" si="3"/>
        <v>0</v>
      </c>
      <c r="G36" s="489">
        <f t="shared" si="4"/>
        <v>0</v>
      </c>
    </row>
    <row r="37" spans="1:7" x14ac:dyDescent="0.3">
      <c r="A37" s="473">
        <f t="shared" si="8"/>
        <v>2025</v>
      </c>
      <c r="B37" s="488" t="str">
        <f t="shared" si="7"/>
        <v>Mayo</v>
      </c>
      <c r="C37" s="485">
        <v>26</v>
      </c>
      <c r="D37" s="489">
        <f t="shared" si="1"/>
        <v>0</v>
      </c>
      <c r="E37" s="489">
        <f t="shared" si="2"/>
        <v>0</v>
      </c>
      <c r="F37" s="489">
        <f t="shared" si="3"/>
        <v>0</v>
      </c>
      <c r="G37" s="489">
        <f t="shared" si="4"/>
        <v>0</v>
      </c>
    </row>
    <row r="38" spans="1:7" x14ac:dyDescent="0.3">
      <c r="A38" s="473">
        <f t="shared" si="8"/>
        <v>2025</v>
      </c>
      <c r="B38" s="488" t="str">
        <f t="shared" si="7"/>
        <v>Junio</v>
      </c>
      <c r="C38" s="485">
        <v>27</v>
      </c>
      <c r="D38" s="489">
        <f t="shared" si="1"/>
        <v>0</v>
      </c>
      <c r="E38" s="489">
        <f t="shared" si="2"/>
        <v>0</v>
      </c>
      <c r="F38" s="489">
        <f t="shared" si="3"/>
        <v>0</v>
      </c>
      <c r="G38" s="489">
        <f t="shared" si="4"/>
        <v>0</v>
      </c>
    </row>
    <row r="39" spans="1:7" x14ac:dyDescent="0.3">
      <c r="A39" s="473">
        <f t="shared" si="8"/>
        <v>2025</v>
      </c>
      <c r="B39" s="488" t="str">
        <f t="shared" si="7"/>
        <v>Julio</v>
      </c>
      <c r="C39" s="485">
        <v>28</v>
      </c>
      <c r="D39" s="489">
        <f t="shared" si="1"/>
        <v>0</v>
      </c>
      <c r="E39" s="489">
        <f t="shared" si="2"/>
        <v>0</v>
      </c>
      <c r="F39" s="489">
        <f t="shared" si="3"/>
        <v>0</v>
      </c>
      <c r="G39" s="489">
        <f t="shared" si="4"/>
        <v>0</v>
      </c>
    </row>
    <row r="40" spans="1:7" x14ac:dyDescent="0.3">
      <c r="A40" s="473">
        <f t="shared" si="8"/>
        <v>2025</v>
      </c>
      <c r="B40" s="488" t="str">
        <f t="shared" si="7"/>
        <v>Agosto</v>
      </c>
      <c r="C40" s="485">
        <v>29</v>
      </c>
      <c r="D40" s="489">
        <f t="shared" si="1"/>
        <v>0</v>
      </c>
      <c r="E40" s="489">
        <f t="shared" si="2"/>
        <v>0</v>
      </c>
      <c r="F40" s="489">
        <f t="shared" si="3"/>
        <v>0</v>
      </c>
      <c r="G40" s="489">
        <f t="shared" si="4"/>
        <v>0</v>
      </c>
    </row>
    <row r="41" spans="1:7" x14ac:dyDescent="0.3">
      <c r="A41" s="473">
        <f t="shared" si="8"/>
        <v>2025</v>
      </c>
      <c r="B41" s="488" t="str">
        <f t="shared" si="7"/>
        <v>Septiembre</v>
      </c>
      <c r="C41" s="485">
        <v>30</v>
      </c>
      <c r="D41" s="489">
        <f t="shared" si="1"/>
        <v>0</v>
      </c>
      <c r="E41" s="489">
        <f t="shared" si="2"/>
        <v>0</v>
      </c>
      <c r="F41" s="489">
        <f t="shared" si="3"/>
        <v>0</v>
      </c>
      <c r="G41" s="489">
        <f t="shared" si="4"/>
        <v>0</v>
      </c>
    </row>
    <row r="42" spans="1:7" x14ac:dyDescent="0.3">
      <c r="A42" s="473">
        <f t="shared" si="8"/>
        <v>2025</v>
      </c>
      <c r="B42" s="488" t="str">
        <f t="shared" si="7"/>
        <v>Octubre</v>
      </c>
      <c r="C42" s="485">
        <v>31</v>
      </c>
      <c r="D42" s="489">
        <f t="shared" si="1"/>
        <v>0</v>
      </c>
      <c r="E42" s="489">
        <f t="shared" si="2"/>
        <v>0</v>
      </c>
      <c r="F42" s="489">
        <f t="shared" si="3"/>
        <v>0</v>
      </c>
      <c r="G42" s="489">
        <f t="shared" si="4"/>
        <v>0</v>
      </c>
    </row>
    <row r="43" spans="1:7" x14ac:dyDescent="0.3">
      <c r="A43" s="473">
        <f t="shared" si="8"/>
        <v>2025</v>
      </c>
      <c r="B43" s="488" t="str">
        <f t="shared" si="7"/>
        <v>Noviembre</v>
      </c>
      <c r="C43" s="485">
        <v>32</v>
      </c>
      <c r="D43" s="489">
        <f t="shared" si="1"/>
        <v>0</v>
      </c>
      <c r="E43" s="489">
        <f t="shared" si="2"/>
        <v>0</v>
      </c>
      <c r="F43" s="489">
        <f t="shared" si="3"/>
        <v>0</v>
      </c>
      <c r="G43" s="489">
        <f t="shared" si="4"/>
        <v>0</v>
      </c>
    </row>
    <row r="44" spans="1:7" x14ac:dyDescent="0.3">
      <c r="A44" s="473">
        <f t="shared" si="8"/>
        <v>2025</v>
      </c>
      <c r="B44" s="488" t="str">
        <f t="shared" si="7"/>
        <v>Diciembre</v>
      </c>
      <c r="C44" s="485">
        <v>33</v>
      </c>
      <c r="D44" s="489">
        <f t="shared" si="1"/>
        <v>0</v>
      </c>
      <c r="E44" s="489">
        <f t="shared" si="2"/>
        <v>0</v>
      </c>
      <c r="F44" s="489">
        <f t="shared" ref="F44:F71" si="9">(G$11)*(C$6)/((1-(1+C$6)^-C$7))</f>
        <v>0</v>
      </c>
      <c r="G44" s="489">
        <f t="shared" si="4"/>
        <v>0</v>
      </c>
    </row>
    <row r="45" spans="1:7" x14ac:dyDescent="0.3">
      <c r="A45" s="473">
        <v>2026</v>
      </c>
      <c r="B45" s="488" t="str">
        <f t="shared" si="7"/>
        <v>Enero</v>
      </c>
      <c r="C45" s="485">
        <v>34</v>
      </c>
      <c r="D45" s="489">
        <f t="shared" si="1"/>
        <v>0</v>
      </c>
      <c r="E45" s="489">
        <f t="shared" si="2"/>
        <v>0</v>
      </c>
      <c r="F45" s="489">
        <f t="shared" si="9"/>
        <v>0</v>
      </c>
      <c r="G45" s="489">
        <f t="shared" si="4"/>
        <v>0</v>
      </c>
    </row>
    <row r="46" spans="1:7" x14ac:dyDescent="0.3">
      <c r="A46" s="473">
        <f>A45</f>
        <v>2026</v>
      </c>
      <c r="B46" s="488" t="str">
        <f t="shared" si="7"/>
        <v>Febrero</v>
      </c>
      <c r="C46" s="485">
        <v>35</v>
      </c>
      <c r="D46" s="489">
        <f t="shared" si="1"/>
        <v>0</v>
      </c>
      <c r="E46" s="489">
        <f t="shared" si="2"/>
        <v>0</v>
      </c>
      <c r="F46" s="489">
        <f t="shared" si="9"/>
        <v>0</v>
      </c>
      <c r="G46" s="489">
        <f t="shared" si="4"/>
        <v>0</v>
      </c>
    </row>
    <row r="47" spans="1:7" x14ac:dyDescent="0.3">
      <c r="A47" s="473">
        <f t="shared" ref="A47:A56" si="10">A46</f>
        <v>2026</v>
      </c>
      <c r="B47" s="488" t="str">
        <f t="shared" si="7"/>
        <v>Marzo</v>
      </c>
      <c r="C47" s="485">
        <v>36</v>
      </c>
      <c r="D47" s="489">
        <f t="shared" si="1"/>
        <v>0</v>
      </c>
      <c r="E47" s="489">
        <f t="shared" si="2"/>
        <v>0</v>
      </c>
      <c r="F47" s="489">
        <f t="shared" si="9"/>
        <v>0</v>
      </c>
      <c r="G47" s="489">
        <f t="shared" si="4"/>
        <v>0</v>
      </c>
    </row>
    <row r="48" spans="1:7" x14ac:dyDescent="0.3">
      <c r="A48" s="473">
        <f t="shared" si="10"/>
        <v>2026</v>
      </c>
      <c r="B48" s="488" t="str">
        <f t="shared" si="7"/>
        <v>Abril</v>
      </c>
      <c r="C48" s="485">
        <v>37</v>
      </c>
      <c r="D48" s="489">
        <f t="shared" si="1"/>
        <v>0</v>
      </c>
      <c r="E48" s="489">
        <f t="shared" si="2"/>
        <v>0</v>
      </c>
      <c r="F48" s="489">
        <f t="shared" si="9"/>
        <v>0</v>
      </c>
      <c r="G48" s="489">
        <f t="shared" si="4"/>
        <v>0</v>
      </c>
    </row>
    <row r="49" spans="1:7" x14ac:dyDescent="0.3">
      <c r="A49" s="473">
        <f t="shared" si="10"/>
        <v>2026</v>
      </c>
      <c r="B49" s="488" t="str">
        <f t="shared" si="7"/>
        <v>Mayo</v>
      </c>
      <c r="C49" s="485">
        <v>38</v>
      </c>
      <c r="D49" s="489">
        <f t="shared" si="1"/>
        <v>0</v>
      </c>
      <c r="E49" s="489">
        <f t="shared" si="2"/>
        <v>0</v>
      </c>
      <c r="F49" s="489">
        <f t="shared" si="9"/>
        <v>0</v>
      </c>
      <c r="G49" s="489">
        <f t="shared" si="4"/>
        <v>0</v>
      </c>
    </row>
    <row r="50" spans="1:7" x14ac:dyDescent="0.3">
      <c r="A50" s="473">
        <f t="shared" si="10"/>
        <v>2026</v>
      </c>
      <c r="B50" s="488" t="str">
        <f t="shared" si="7"/>
        <v>Junio</v>
      </c>
      <c r="C50" s="485">
        <v>39</v>
      </c>
      <c r="D50" s="489">
        <f t="shared" si="1"/>
        <v>0</v>
      </c>
      <c r="E50" s="489">
        <f t="shared" si="2"/>
        <v>0</v>
      </c>
      <c r="F50" s="489">
        <f t="shared" si="9"/>
        <v>0</v>
      </c>
      <c r="G50" s="489">
        <f t="shared" si="4"/>
        <v>0</v>
      </c>
    </row>
    <row r="51" spans="1:7" x14ac:dyDescent="0.3">
      <c r="A51" s="473">
        <f t="shared" si="10"/>
        <v>2026</v>
      </c>
      <c r="B51" s="488" t="str">
        <f t="shared" si="7"/>
        <v>Julio</v>
      </c>
      <c r="C51" s="485">
        <v>40</v>
      </c>
      <c r="D51" s="489">
        <f t="shared" si="1"/>
        <v>0</v>
      </c>
      <c r="E51" s="489">
        <f t="shared" si="2"/>
        <v>0</v>
      </c>
      <c r="F51" s="489">
        <f t="shared" si="9"/>
        <v>0</v>
      </c>
      <c r="G51" s="489">
        <f t="shared" si="4"/>
        <v>0</v>
      </c>
    </row>
    <row r="52" spans="1:7" x14ac:dyDescent="0.3">
      <c r="A52" s="473">
        <f t="shared" si="10"/>
        <v>2026</v>
      </c>
      <c r="B52" s="488" t="str">
        <f t="shared" si="7"/>
        <v>Agosto</v>
      </c>
      <c r="C52" s="485">
        <v>41</v>
      </c>
      <c r="D52" s="489">
        <f t="shared" si="1"/>
        <v>0</v>
      </c>
      <c r="E52" s="489">
        <f t="shared" si="2"/>
        <v>0</v>
      </c>
      <c r="F52" s="489">
        <f t="shared" si="9"/>
        <v>0</v>
      </c>
      <c r="G52" s="489">
        <f t="shared" si="4"/>
        <v>0</v>
      </c>
    </row>
    <row r="53" spans="1:7" x14ac:dyDescent="0.3">
      <c r="A53" s="473">
        <f t="shared" si="10"/>
        <v>2026</v>
      </c>
      <c r="B53" s="488" t="str">
        <f t="shared" si="7"/>
        <v>Septiembre</v>
      </c>
      <c r="C53" s="485">
        <v>42</v>
      </c>
      <c r="D53" s="489">
        <f t="shared" si="1"/>
        <v>0</v>
      </c>
      <c r="E53" s="489">
        <f t="shared" si="2"/>
        <v>0</v>
      </c>
      <c r="F53" s="489">
        <f t="shared" si="9"/>
        <v>0</v>
      </c>
      <c r="G53" s="489">
        <f t="shared" si="4"/>
        <v>0</v>
      </c>
    </row>
    <row r="54" spans="1:7" x14ac:dyDescent="0.3">
      <c r="A54" s="473">
        <f t="shared" si="10"/>
        <v>2026</v>
      </c>
      <c r="B54" s="488" t="str">
        <f t="shared" si="7"/>
        <v>Octubre</v>
      </c>
      <c r="C54" s="485">
        <v>43</v>
      </c>
      <c r="D54" s="489">
        <f t="shared" si="1"/>
        <v>0</v>
      </c>
      <c r="E54" s="489">
        <f t="shared" si="2"/>
        <v>0</v>
      </c>
      <c r="F54" s="489">
        <f t="shared" si="9"/>
        <v>0</v>
      </c>
      <c r="G54" s="489">
        <f t="shared" si="4"/>
        <v>0</v>
      </c>
    </row>
    <row r="55" spans="1:7" x14ac:dyDescent="0.3">
      <c r="A55" s="473">
        <f t="shared" si="10"/>
        <v>2026</v>
      </c>
      <c r="B55" s="488" t="str">
        <f t="shared" si="7"/>
        <v>Noviembre</v>
      </c>
      <c r="C55" s="485">
        <v>44</v>
      </c>
      <c r="D55" s="489">
        <f t="shared" si="1"/>
        <v>0</v>
      </c>
      <c r="E55" s="489">
        <f t="shared" si="2"/>
        <v>0</v>
      </c>
      <c r="F55" s="489">
        <f t="shared" si="9"/>
        <v>0</v>
      </c>
      <c r="G55" s="489">
        <f t="shared" si="4"/>
        <v>0</v>
      </c>
    </row>
    <row r="56" spans="1:7" x14ac:dyDescent="0.3">
      <c r="A56" s="473">
        <f t="shared" si="10"/>
        <v>2026</v>
      </c>
      <c r="B56" s="488" t="str">
        <f t="shared" si="7"/>
        <v>Diciembre</v>
      </c>
      <c r="C56" s="485">
        <v>45</v>
      </c>
      <c r="D56" s="489">
        <f t="shared" si="1"/>
        <v>0</v>
      </c>
      <c r="E56" s="489">
        <f t="shared" si="2"/>
        <v>0</v>
      </c>
      <c r="F56" s="489">
        <f t="shared" si="9"/>
        <v>0</v>
      </c>
      <c r="G56" s="489">
        <f t="shared" si="4"/>
        <v>0</v>
      </c>
    </row>
    <row r="57" spans="1:7" x14ac:dyDescent="0.3">
      <c r="A57" s="473">
        <v>2027</v>
      </c>
      <c r="B57" s="488" t="str">
        <f t="shared" si="7"/>
        <v>Enero</v>
      </c>
      <c r="C57" s="485">
        <v>46</v>
      </c>
      <c r="D57" s="489">
        <f t="shared" si="1"/>
        <v>0</v>
      </c>
      <c r="E57" s="489">
        <f t="shared" si="2"/>
        <v>0</v>
      </c>
      <c r="F57" s="489">
        <f t="shared" si="9"/>
        <v>0</v>
      </c>
      <c r="G57" s="489">
        <f t="shared" si="4"/>
        <v>0</v>
      </c>
    </row>
    <row r="58" spans="1:7" x14ac:dyDescent="0.3">
      <c r="A58" s="473">
        <f>A57</f>
        <v>2027</v>
      </c>
      <c r="B58" s="488" t="str">
        <f t="shared" si="7"/>
        <v>Febrero</v>
      </c>
      <c r="C58" s="485">
        <v>47</v>
      </c>
      <c r="D58" s="489">
        <f t="shared" si="1"/>
        <v>0</v>
      </c>
      <c r="E58" s="489">
        <f t="shared" si="2"/>
        <v>0</v>
      </c>
      <c r="F58" s="489">
        <f t="shared" si="9"/>
        <v>0</v>
      </c>
      <c r="G58" s="489">
        <f t="shared" si="4"/>
        <v>0</v>
      </c>
    </row>
    <row r="59" spans="1:7" x14ac:dyDescent="0.3">
      <c r="A59" s="473">
        <f t="shared" ref="A59:A71" si="11">A58</f>
        <v>2027</v>
      </c>
      <c r="B59" s="488" t="str">
        <f t="shared" si="7"/>
        <v>Marzo</v>
      </c>
      <c r="C59" s="485">
        <v>48</v>
      </c>
      <c r="D59" s="489">
        <f t="shared" si="1"/>
        <v>0</v>
      </c>
      <c r="E59" s="489">
        <f t="shared" si="2"/>
        <v>0</v>
      </c>
      <c r="F59" s="489">
        <f t="shared" si="9"/>
        <v>0</v>
      </c>
      <c r="G59" s="489">
        <f t="shared" si="4"/>
        <v>0</v>
      </c>
    </row>
    <row r="60" spans="1:7" x14ac:dyDescent="0.3">
      <c r="A60" s="473">
        <f t="shared" si="11"/>
        <v>2027</v>
      </c>
      <c r="B60" s="488" t="str">
        <f t="shared" si="7"/>
        <v>Abril</v>
      </c>
      <c r="C60" s="485">
        <v>49</v>
      </c>
      <c r="D60" s="489">
        <f t="shared" ref="D60:D71" si="12">F60-E60</f>
        <v>0</v>
      </c>
      <c r="E60" s="489">
        <f t="shared" ref="E60:E71" si="13">(G59)*(C$6)</f>
        <v>0</v>
      </c>
      <c r="F60" s="489">
        <f t="shared" si="9"/>
        <v>0</v>
      </c>
      <c r="G60" s="489">
        <f t="shared" ref="G60:G71" si="14">G59-D60</f>
        <v>0</v>
      </c>
    </row>
    <row r="61" spans="1:7" x14ac:dyDescent="0.3">
      <c r="A61" s="473">
        <f t="shared" si="11"/>
        <v>2027</v>
      </c>
      <c r="B61" s="488" t="str">
        <f t="shared" si="7"/>
        <v>Mayo</v>
      </c>
      <c r="C61" s="485">
        <v>50</v>
      </c>
      <c r="D61" s="489">
        <f t="shared" si="12"/>
        <v>0</v>
      </c>
      <c r="E61" s="489">
        <f t="shared" si="13"/>
        <v>0</v>
      </c>
      <c r="F61" s="489">
        <f t="shared" si="9"/>
        <v>0</v>
      </c>
      <c r="G61" s="489">
        <f t="shared" si="14"/>
        <v>0</v>
      </c>
    </row>
    <row r="62" spans="1:7" x14ac:dyDescent="0.3">
      <c r="A62" s="473">
        <f t="shared" si="11"/>
        <v>2027</v>
      </c>
      <c r="B62" s="488" t="str">
        <f t="shared" si="7"/>
        <v>Junio</v>
      </c>
      <c r="C62" s="485">
        <v>51</v>
      </c>
      <c r="D62" s="489">
        <f t="shared" si="12"/>
        <v>0</v>
      </c>
      <c r="E62" s="489">
        <f t="shared" si="13"/>
        <v>0</v>
      </c>
      <c r="F62" s="489">
        <f t="shared" si="9"/>
        <v>0</v>
      </c>
      <c r="G62" s="489">
        <f t="shared" si="14"/>
        <v>0</v>
      </c>
    </row>
    <row r="63" spans="1:7" x14ac:dyDescent="0.3">
      <c r="A63" s="473">
        <f t="shared" si="11"/>
        <v>2027</v>
      </c>
      <c r="B63" s="488" t="str">
        <f t="shared" si="7"/>
        <v>Julio</v>
      </c>
      <c r="C63" s="485">
        <v>52</v>
      </c>
      <c r="D63" s="489">
        <f t="shared" si="12"/>
        <v>0</v>
      </c>
      <c r="E63" s="489">
        <f t="shared" si="13"/>
        <v>0</v>
      </c>
      <c r="F63" s="489">
        <f t="shared" si="9"/>
        <v>0</v>
      </c>
      <c r="G63" s="489">
        <f t="shared" si="14"/>
        <v>0</v>
      </c>
    </row>
    <row r="64" spans="1:7" x14ac:dyDescent="0.3">
      <c r="A64" s="473">
        <f t="shared" si="11"/>
        <v>2027</v>
      </c>
      <c r="B64" s="488" t="str">
        <f t="shared" si="7"/>
        <v>Agosto</v>
      </c>
      <c r="C64" s="485">
        <v>53</v>
      </c>
      <c r="D64" s="489">
        <f t="shared" si="12"/>
        <v>0</v>
      </c>
      <c r="E64" s="489">
        <f t="shared" si="13"/>
        <v>0</v>
      </c>
      <c r="F64" s="489">
        <f t="shared" si="9"/>
        <v>0</v>
      </c>
      <c r="G64" s="489">
        <f t="shared" si="14"/>
        <v>0</v>
      </c>
    </row>
    <row r="65" spans="1:7" x14ac:dyDescent="0.3">
      <c r="A65" s="473">
        <f t="shared" si="11"/>
        <v>2027</v>
      </c>
      <c r="B65" s="488" t="str">
        <f t="shared" si="7"/>
        <v>Septiembre</v>
      </c>
      <c r="C65" s="485">
        <v>54</v>
      </c>
      <c r="D65" s="489">
        <f t="shared" si="12"/>
        <v>0</v>
      </c>
      <c r="E65" s="489">
        <f t="shared" si="13"/>
        <v>0</v>
      </c>
      <c r="F65" s="489">
        <f t="shared" si="9"/>
        <v>0</v>
      </c>
      <c r="G65" s="489">
        <f t="shared" si="14"/>
        <v>0</v>
      </c>
    </row>
    <row r="66" spans="1:7" x14ac:dyDescent="0.3">
      <c r="A66" s="473">
        <f t="shared" si="11"/>
        <v>2027</v>
      </c>
      <c r="B66" s="488" t="str">
        <f t="shared" si="7"/>
        <v>Octubre</v>
      </c>
      <c r="C66" s="485">
        <v>55</v>
      </c>
      <c r="D66" s="489">
        <f t="shared" si="12"/>
        <v>0</v>
      </c>
      <c r="E66" s="489">
        <f t="shared" si="13"/>
        <v>0</v>
      </c>
      <c r="F66" s="489">
        <f t="shared" si="9"/>
        <v>0</v>
      </c>
      <c r="G66" s="489">
        <f t="shared" si="14"/>
        <v>0</v>
      </c>
    </row>
    <row r="67" spans="1:7" x14ac:dyDescent="0.3">
      <c r="A67" s="473">
        <f t="shared" si="11"/>
        <v>2027</v>
      </c>
      <c r="B67" s="488" t="str">
        <f t="shared" si="7"/>
        <v>Noviembre</v>
      </c>
      <c r="C67" s="485">
        <v>56</v>
      </c>
      <c r="D67" s="489">
        <f t="shared" si="12"/>
        <v>0</v>
      </c>
      <c r="E67" s="489">
        <f t="shared" si="13"/>
        <v>0</v>
      </c>
      <c r="F67" s="489">
        <f t="shared" si="9"/>
        <v>0</v>
      </c>
      <c r="G67" s="489">
        <f t="shared" si="14"/>
        <v>0</v>
      </c>
    </row>
    <row r="68" spans="1:7" x14ac:dyDescent="0.3">
      <c r="A68" s="473">
        <f t="shared" si="11"/>
        <v>2027</v>
      </c>
      <c r="B68" s="488" t="str">
        <f t="shared" si="7"/>
        <v>Diciembre</v>
      </c>
      <c r="C68" s="485">
        <v>57</v>
      </c>
      <c r="D68" s="489">
        <f t="shared" si="12"/>
        <v>0</v>
      </c>
      <c r="E68" s="489">
        <f t="shared" si="13"/>
        <v>0</v>
      </c>
      <c r="F68" s="489">
        <f t="shared" si="9"/>
        <v>0</v>
      </c>
      <c r="G68" s="489">
        <f t="shared" si="14"/>
        <v>0</v>
      </c>
    </row>
    <row r="69" spans="1:7" x14ac:dyDescent="0.3">
      <c r="A69" s="473">
        <v>2028</v>
      </c>
      <c r="B69" s="488" t="str">
        <f t="shared" si="7"/>
        <v>Enero</v>
      </c>
      <c r="C69" s="485">
        <v>58</v>
      </c>
      <c r="D69" s="489">
        <f t="shared" si="12"/>
        <v>0</v>
      </c>
      <c r="E69" s="489">
        <f t="shared" si="13"/>
        <v>0</v>
      </c>
      <c r="F69" s="489">
        <f t="shared" si="9"/>
        <v>0</v>
      </c>
      <c r="G69" s="489">
        <f t="shared" si="14"/>
        <v>0</v>
      </c>
    </row>
    <row r="70" spans="1:7" x14ac:dyDescent="0.3">
      <c r="A70" s="473">
        <f t="shared" si="11"/>
        <v>2028</v>
      </c>
      <c r="B70" s="488" t="str">
        <f t="shared" si="7"/>
        <v>Febrero</v>
      </c>
      <c r="C70" s="485">
        <v>59</v>
      </c>
      <c r="D70" s="489">
        <f t="shared" si="12"/>
        <v>0</v>
      </c>
      <c r="E70" s="489">
        <f t="shared" si="13"/>
        <v>0</v>
      </c>
      <c r="F70" s="489">
        <f t="shared" si="9"/>
        <v>0</v>
      </c>
      <c r="G70" s="489">
        <f t="shared" si="14"/>
        <v>0</v>
      </c>
    </row>
    <row r="71" spans="1:7" x14ac:dyDescent="0.3">
      <c r="A71" s="473">
        <f t="shared" si="11"/>
        <v>2028</v>
      </c>
      <c r="B71" s="488" t="str">
        <f t="shared" si="7"/>
        <v>Marzo</v>
      </c>
      <c r="C71" s="485">
        <v>60</v>
      </c>
      <c r="D71" s="489">
        <f t="shared" si="12"/>
        <v>0</v>
      </c>
      <c r="E71" s="489">
        <f t="shared" si="13"/>
        <v>0</v>
      </c>
      <c r="F71" s="489">
        <f t="shared" si="9"/>
        <v>0</v>
      </c>
      <c r="G71" s="489">
        <f t="shared" si="14"/>
        <v>0</v>
      </c>
    </row>
    <row r="72" spans="1:7" x14ac:dyDescent="0.3">
      <c r="B72" s="473"/>
      <c r="C72" s="473"/>
      <c r="D72" s="473"/>
      <c r="E72" s="473"/>
      <c r="F72" s="473"/>
      <c r="G72" s="473"/>
    </row>
    <row r="73" spans="1:7" x14ac:dyDescent="0.3">
      <c r="B73" s="473"/>
      <c r="C73" s="473"/>
      <c r="D73" s="473"/>
      <c r="E73" s="473"/>
      <c r="F73" s="473"/>
      <c r="G73" s="473"/>
    </row>
    <row r="74" spans="1:7" x14ac:dyDescent="0.3">
      <c r="B74" s="473"/>
      <c r="C74" s="473"/>
      <c r="D74" s="473"/>
      <c r="E74" s="473"/>
      <c r="F74" s="473"/>
      <c r="G74" s="473"/>
    </row>
    <row r="75" spans="1:7" x14ac:dyDescent="0.3">
      <c r="B75" s="473"/>
      <c r="C75" s="473"/>
      <c r="D75" s="473"/>
      <c r="E75" s="473"/>
      <c r="F75" s="473"/>
      <c r="G75" s="473"/>
    </row>
    <row r="76" spans="1:7" x14ac:dyDescent="0.3">
      <c r="B76" s="473"/>
      <c r="C76" s="473"/>
      <c r="D76" s="473"/>
      <c r="E76" s="473"/>
      <c r="F76" s="473"/>
      <c r="G76" s="473"/>
    </row>
    <row r="77" spans="1:7" x14ac:dyDescent="0.3">
      <c r="B77" s="473"/>
      <c r="C77" s="473"/>
      <c r="D77" s="473"/>
      <c r="E77" s="473"/>
      <c r="F77" s="473"/>
      <c r="G77" s="473"/>
    </row>
    <row r="78" spans="1:7" x14ac:dyDescent="0.3">
      <c r="B78" s="473"/>
      <c r="C78" s="473"/>
      <c r="D78" s="473"/>
      <c r="E78" s="473"/>
      <c r="F78" s="473"/>
      <c r="G78" s="473"/>
    </row>
  </sheetData>
  <sheetProtection algorithmName="SHA-512" hashValue="eYgUuIFcoefuWn9MLrZ2lKNJzQ9hnE5oBbWFP4h2lNsi7i0hmD4qY3w7Sv5jnX2LadbO/CSpl2KmBRF18Zn6IQ==" saltValue="r+eHVbaYJABQSI/AlNstQw==" spinCount="100000" sheet="1" objects="1" scenarios="1" selectLockedCells="1"/>
  <phoneticPr fontId="17" type="noConversion"/>
  <printOptions horizontalCentered="1"/>
  <pageMargins left="0.4" right="0.4" top="0.4" bottom="0.5" header="0.3" footer="0.3"/>
  <pageSetup paperSize="9" fitToHeight="0" orientation="landscape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Estructura</vt:lpstr>
      <vt:lpstr>Inversionista</vt:lpstr>
      <vt:lpstr>Flujo Operativo</vt:lpstr>
      <vt:lpstr>Parámetros</vt:lpstr>
      <vt:lpstr>Programación del préstamo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Walter A. Reñasco González</cp:lastModifiedBy>
  <dcterms:created xsi:type="dcterms:W3CDTF">2022-12-14T14:35:18Z</dcterms:created>
  <dcterms:modified xsi:type="dcterms:W3CDTF">2023-01-31T20:45:39Z</dcterms:modified>
</cp:coreProperties>
</file>